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15480" windowHeight="11640" tabRatio="804" activeTab="2"/>
  </bookViews>
  <sheets>
    <sheet name="Instructions" sheetId="1" r:id="rId1"/>
    <sheet name="Motor Overview" sheetId="2" r:id="rId2"/>
    <sheet name="tm280 10pole" sheetId="3" r:id="rId3"/>
    <sheet name="tm280 14pole" sheetId="4" r:id="rId4"/>
    <sheet name="tm350 10pole" sheetId="5" r:id="rId5"/>
    <sheet name="tm350 14pole" sheetId="6" r:id="rId6"/>
    <sheet name="tm430 10pole" sheetId="7" r:id="rId7"/>
    <sheet name="tm430 14pole" sheetId="8" r:id="rId8"/>
    <sheet name="Aeronaut &amp; APC" sheetId="9" r:id="rId9"/>
    <sheet name="SlowFlyProps" sheetId="10" r:id="rId10"/>
    <sheet name="Wire Cross Sections" sheetId="11" r:id="rId11"/>
  </sheets>
  <definedNames>
    <definedName name="__123Graph_A" localSheetId="6" hidden="1">#REF!</definedName>
    <definedName name="__123Graph_A" localSheetId="7" hidden="1">#REF!</definedName>
    <definedName name="__123Graph_A" hidden="1">#REF!</definedName>
    <definedName name="__123Graph_AW11_ETA" localSheetId="6" hidden="1">#REF!</definedName>
    <definedName name="__123Graph_AW11_ETA" localSheetId="7" hidden="1">#REF!</definedName>
    <definedName name="__123Graph_AW11_ETA" hidden="1">#REF!</definedName>
    <definedName name="__123Graph_AW11_HZ" localSheetId="6" hidden="1">#REF!</definedName>
    <definedName name="__123Graph_AW11_HZ" localSheetId="7" hidden="1">#REF!</definedName>
    <definedName name="__123Graph_AW11_HZ" hidden="1">#REF!</definedName>
    <definedName name="__123Graph_X" localSheetId="6" hidden="1">#REF!</definedName>
    <definedName name="__123Graph_X" localSheetId="7" hidden="1">#REF!</definedName>
    <definedName name="__123Graph_X" hidden="1">#REF!</definedName>
    <definedName name="__123Graph_XW11_ETA" localSheetId="6" hidden="1">#REF!</definedName>
    <definedName name="__123Graph_XW11_ETA" localSheetId="7" hidden="1">#REF!</definedName>
    <definedName name="__123Graph_XW11_ETA" hidden="1">#REF!</definedName>
    <definedName name="__123Graph_XW11_HZ" localSheetId="6" hidden="1">#REF!</definedName>
    <definedName name="__123Graph_XW11_HZ" localSheetId="7" hidden="1">#REF!</definedName>
    <definedName name="__123Graph_XW11_HZ" hidden="1">#REF!</definedName>
    <definedName name="_Regression_Out" localSheetId="6" hidden="1">#REF!</definedName>
    <definedName name="_Regression_Out" localSheetId="7" hidden="1">#REF!</definedName>
    <definedName name="_Regression_Out" hidden="1">#REF!</definedName>
    <definedName name="_Regression_X" localSheetId="6" hidden="1">#REF!</definedName>
    <definedName name="_Regression_X" localSheetId="7" hidden="1">#REF!</definedName>
    <definedName name="_Regression_X" hidden="1">#REF!</definedName>
    <definedName name="_Regression_Y" localSheetId="6" hidden="1">#REF!</definedName>
    <definedName name="_Regression_Y" localSheetId="7" hidden="1">#REF!</definedName>
    <definedName name="_Regression_Y" hidden="1">#REF!</definedName>
    <definedName name="LS_AUSWAHL">#REF!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jochenz</author>
  </authors>
  <commentList>
    <comment ref="A7" authorId="0">
      <text>
        <r>
          <rPr>
            <b/>
            <sz val="8"/>
            <rFont val="Tahoma"/>
            <family val="0"/>
          </rPr>
          <t>Exactly !!!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Peter Rother</author>
    <author>jochenz</author>
  </authors>
  <commentList>
    <comment ref="E6" authorId="0">
      <text>
        <r>
          <rPr>
            <b/>
            <sz val="8"/>
            <rFont val="Tahoma"/>
            <family val="0"/>
          </rPr>
          <t>Cable length from Battery output to Controller input</t>
        </r>
      </text>
    </comment>
    <comment ref="C16" authorId="0">
      <text>
        <r>
          <rPr>
            <b/>
            <sz val="8"/>
            <rFont val="Tahoma"/>
            <family val="0"/>
          </rPr>
          <t xml:space="preserve">Calculated Voltage of Battery Pack under Load. 
Insert other value manually if calculated value is incorrect
</t>
        </r>
      </text>
    </comment>
    <comment ref="D6" authorId="0">
      <text>
        <r>
          <rPr>
            <b/>
            <sz val="8"/>
            <rFont val="Tahoma"/>
            <family val="0"/>
          </rPr>
          <t>normal Cells  0,004-0,005
pushed Cells  0,003 - 0,004
old Cells   0,006 -0,007
SlowFly cells  0,03 - 0,05</t>
        </r>
      </text>
    </comment>
    <comment ref="F6" authorId="0">
      <text>
        <r>
          <rPr>
            <b/>
            <sz val="8"/>
            <rFont val="Tahoma"/>
            <family val="0"/>
          </rPr>
          <t xml:space="preserve">Cross Section of Cable from Battery to Controller :
1.5  upto 15A
2.5  upto 40A
4.0 &gt; 40A
</t>
        </r>
      </text>
    </comment>
    <comment ref="G6" authorId="0">
      <text>
        <r>
          <rPr>
            <b/>
            <sz val="8"/>
            <rFont val="Tahoma"/>
            <family val="0"/>
          </rPr>
          <t>Calculated Impedance of 
complete battery pack with cable</t>
        </r>
      </text>
    </comment>
    <comment ref="C6" authorId="0">
      <text>
        <r>
          <rPr>
            <b/>
            <sz val="8"/>
            <rFont val="Tahoma"/>
            <family val="0"/>
          </rPr>
          <t>Calculated as average Voltage at 10A plus loss of Rib at Rib*10A and Voltage at 20A plus loss of Rib at Rib*20A
Linear model of the cell :
Ub=U-I*rib 
where U was measured experimental as Ub(10A) and Ub(20A) after 50% of discharging .</t>
        </r>
      </text>
    </comment>
    <comment ref="B10" authorId="0">
      <text>
        <r>
          <rPr>
            <b/>
            <sz val="8"/>
            <rFont val="Tahoma"/>
            <family val="0"/>
          </rPr>
          <t>&lt; 40A ~ 8m</t>
        </r>
        <r>
          <rPr>
            <b/>
            <sz val="8"/>
            <rFont val="Symbol"/>
            <family val="1"/>
          </rPr>
          <t>W</t>
        </r>
        <r>
          <rPr>
            <b/>
            <sz val="8"/>
            <rFont val="Tahoma"/>
            <family val="0"/>
          </rPr>
          <t xml:space="preserve">  
&gt; 40A ~ 4m</t>
        </r>
        <r>
          <rPr>
            <b/>
            <sz val="8"/>
            <rFont val="Symbol"/>
            <family val="1"/>
          </rPr>
          <t xml:space="preserve">W
 </t>
        </r>
      </text>
    </comment>
    <comment ref="E16" authorId="0">
      <text>
        <r>
          <rPr>
            <b/>
            <sz val="8"/>
            <rFont val="Tahoma"/>
            <family val="0"/>
          </rPr>
          <t xml:space="preserve">Battery Input Power
The Output Power varies between 75 an 88% of the input power
</t>
        </r>
      </text>
    </comment>
    <comment ref="G16" authorId="0">
      <text>
        <r>
          <rPr>
            <b/>
            <sz val="8"/>
            <rFont val="Tahoma"/>
            <family val="0"/>
          </rPr>
          <t>Select  n100w  value from Sheet Aeronaut&amp;APC or SlowFlyer (consider center part drilling distance for folding props !</t>
        </r>
      </text>
    </comment>
    <comment ref="B16" authorId="1">
      <text>
        <r>
          <rPr>
            <b/>
            <sz val="8"/>
            <rFont val="Tahoma"/>
            <family val="0"/>
          </rPr>
          <t>Height (Length) of Statorblock without Isolation</t>
        </r>
        <r>
          <rPr>
            <sz val="8"/>
            <rFont val="Tahoma"/>
            <family val="0"/>
          </rPr>
          <t xml:space="preserve">
 </t>
        </r>
      </text>
    </comment>
    <comment ref="B13" authorId="0">
      <text>
        <r>
          <rPr>
            <b/>
            <sz val="8"/>
            <rFont val="Tahoma"/>
            <family val="0"/>
          </rPr>
          <t>As the rotation speed is essentially depending on the applied acontroller it is important to check this value !</t>
        </r>
      </text>
    </comment>
    <comment ref="A23" authorId="0">
      <text>
        <r>
          <rPr>
            <b/>
            <sz val="8"/>
            <rFont val="Tahoma"/>
            <family val="0"/>
          </rPr>
          <t>for more information goto
www.torcman.de/peterslrk</t>
        </r>
      </text>
    </comment>
    <comment ref="A24" authorId="0">
      <text>
        <r>
          <rPr>
            <b/>
            <sz val="8"/>
            <rFont val="Tahoma"/>
            <family val="0"/>
          </rPr>
          <t xml:space="preserve">Voltage Resulting from Electro-Magnetic-Force
</t>
        </r>
      </text>
    </comment>
    <comment ref="A25" authorId="0">
      <text>
        <r>
          <rPr>
            <b/>
            <sz val="8"/>
            <rFont val="Tahoma"/>
            <family val="0"/>
          </rPr>
          <t>Rotation Speed per Volt at Load</t>
        </r>
      </text>
    </comment>
    <comment ref="A26" authorId="0">
      <text>
        <r>
          <rPr>
            <b/>
            <sz val="8"/>
            <rFont val="Tahoma"/>
            <family val="0"/>
          </rPr>
          <t>for more information goto
www.torcman.de/peterslrk</t>
        </r>
      </text>
    </comment>
    <comment ref="A27" authorId="0">
      <text>
        <r>
          <rPr>
            <b/>
            <sz val="8"/>
            <rFont val="Tahoma"/>
            <family val="0"/>
          </rPr>
          <t>Specific rpm at current = 0A, 
at idle current, the rpm is marginal smaller</t>
        </r>
      </text>
    </comment>
    <comment ref="A28" authorId="0">
      <text>
        <r>
          <rPr>
            <b/>
            <sz val="8"/>
            <rFont val="Tahoma"/>
            <family val="0"/>
          </rPr>
          <t xml:space="preserve">Resistance between the connections
</t>
        </r>
      </text>
    </comment>
    <comment ref="A29" authorId="0">
      <text>
        <r>
          <rPr>
            <b/>
            <sz val="8"/>
            <rFont val="Tahoma"/>
            <family val="0"/>
          </rPr>
          <t>it has become usual to count the number of turns per tooth although every coil has two teeth and therefore the real number is doubled</t>
        </r>
      </text>
    </comment>
    <comment ref="A30" authorId="0">
      <text>
        <r>
          <rPr>
            <b/>
            <sz val="8"/>
            <rFont val="Tahoma"/>
            <family val="0"/>
          </rPr>
          <t xml:space="preserve">This is the real  slot area, which can be used for filling up with wire. Experienced motor builders can increase this value by approximately 10%
</t>
        </r>
      </text>
    </comment>
    <comment ref="A31" authorId="0">
      <text>
        <r>
          <rPr>
            <b/>
            <sz val="8"/>
            <rFont val="Tahoma"/>
            <family val="0"/>
          </rPr>
          <t>Wire Cross Section, not depending on number opf parallel wired</t>
        </r>
      </text>
    </comment>
    <comment ref="A32" authorId="0">
      <text>
        <r>
          <rPr>
            <b/>
            <sz val="8"/>
            <rFont val="Tahoma"/>
            <family val="0"/>
          </rPr>
          <t>Number of parallel wound wires</t>
        </r>
      </text>
    </comment>
    <comment ref="A33" authorId="0">
      <text>
        <r>
          <rPr>
            <b/>
            <sz val="8"/>
            <rFont val="Tahoma"/>
            <family val="0"/>
          </rPr>
          <t>Wire Diameter (without isolation coating) .
Recommended :
TM280 up to 0.8mm (0.9mm)
TM350 up to 1.0mm (1.1mm)
TM430 up to 1.2mm (1.5mm)
Values in Brackets for experienced users</t>
        </r>
      </text>
    </comment>
    <comment ref="A34" authorId="0">
      <text>
        <r>
          <rPr>
            <b/>
            <sz val="8"/>
            <rFont val="Tahoma"/>
            <family val="0"/>
          </rPr>
          <t>Wire Length of coil on one tooth</t>
        </r>
      </text>
    </comment>
    <comment ref="A35" authorId="0">
      <text>
        <r>
          <rPr>
            <b/>
            <sz val="8"/>
            <rFont val="Tahoma"/>
            <family val="0"/>
          </rPr>
          <t>Coil resistance</t>
        </r>
      </text>
    </comment>
    <comment ref="A36" authorId="0">
      <text>
        <r>
          <rPr>
            <b/>
            <sz val="8"/>
            <rFont val="Tahoma"/>
            <family val="2"/>
          </rPr>
          <t>Resistance between connetions of motor</t>
        </r>
      </text>
    </comment>
    <comment ref="A37" authorId="0">
      <text>
        <r>
          <rPr>
            <b/>
            <sz val="8"/>
            <rFont val="Tahoma"/>
            <family val="0"/>
          </rPr>
          <t xml:space="preserve">Will the wire be able to stand the current ?
</t>
        </r>
      </text>
    </comment>
  </commentList>
</comments>
</file>

<file path=xl/comments4.xml><?xml version="1.0" encoding="utf-8"?>
<comments xmlns="http://schemas.openxmlformats.org/spreadsheetml/2006/main">
  <authors>
    <author>Peter Rother</author>
    <author>jochenz</author>
  </authors>
  <commentList>
    <comment ref="C6" authorId="0">
      <text>
        <r>
          <rPr>
            <b/>
            <sz val="8"/>
            <rFont val="Tahoma"/>
            <family val="0"/>
          </rPr>
          <t>Calculated as average Voltage at 10A plus loss of Rib at Rib*10A and Voltage at 20A plus loss of Rib at Rib*20A
Linear model of the cell :
Ub=U-I*rib 
where U was measured experimental as Ub(10A) and Ub(20A) after 50% of discharging .</t>
        </r>
      </text>
    </comment>
    <comment ref="D6" authorId="0">
      <text>
        <r>
          <rPr>
            <b/>
            <sz val="8"/>
            <rFont val="Tahoma"/>
            <family val="0"/>
          </rPr>
          <t>normal Cells  0,004-0,005
pushed Cells  0,003 - 0,004
old Cells   0,006 -0,007
SlowFly cells  0,03 - 0,05</t>
        </r>
      </text>
    </comment>
    <comment ref="E6" authorId="0">
      <text>
        <r>
          <rPr>
            <b/>
            <sz val="8"/>
            <rFont val="Tahoma"/>
            <family val="0"/>
          </rPr>
          <t>Cable length from Battery output to Controller input</t>
        </r>
      </text>
    </comment>
    <comment ref="F6" authorId="0">
      <text>
        <r>
          <rPr>
            <b/>
            <sz val="8"/>
            <rFont val="Tahoma"/>
            <family val="0"/>
          </rPr>
          <t xml:space="preserve">Cross Section of Cable from Battery to Controller :
1.5  upto 15A
2.5  upto 40A
4.0 &gt; 40A
</t>
        </r>
      </text>
    </comment>
    <comment ref="G6" authorId="0">
      <text>
        <r>
          <rPr>
            <b/>
            <sz val="8"/>
            <rFont val="Tahoma"/>
            <family val="0"/>
          </rPr>
          <t>Calculated Impedance of 
complete battery pack with cable</t>
        </r>
      </text>
    </comment>
    <comment ref="B10" authorId="0">
      <text>
        <r>
          <rPr>
            <b/>
            <sz val="8"/>
            <rFont val="Tahoma"/>
            <family val="0"/>
          </rPr>
          <t>&lt; 40A ~ 8m</t>
        </r>
        <r>
          <rPr>
            <b/>
            <sz val="8"/>
            <rFont val="Symbol"/>
            <family val="1"/>
          </rPr>
          <t>W</t>
        </r>
        <r>
          <rPr>
            <b/>
            <sz val="8"/>
            <rFont val="Tahoma"/>
            <family val="0"/>
          </rPr>
          <t xml:space="preserve">  
&gt; 40A ~ 4m</t>
        </r>
        <r>
          <rPr>
            <b/>
            <sz val="8"/>
            <rFont val="Symbol"/>
            <family val="1"/>
          </rPr>
          <t xml:space="preserve">W
 </t>
        </r>
      </text>
    </comment>
    <comment ref="B13" authorId="0">
      <text>
        <r>
          <rPr>
            <b/>
            <sz val="8"/>
            <rFont val="Tahoma"/>
            <family val="0"/>
          </rPr>
          <t>As the rotation speed is essentially depending on the applied acontroller it is important to check this value !</t>
        </r>
      </text>
    </comment>
    <comment ref="B16" authorId="1">
      <text>
        <r>
          <rPr>
            <b/>
            <sz val="8"/>
            <rFont val="Tahoma"/>
            <family val="0"/>
          </rPr>
          <t>Height (Length) of Statorblock without Isolation</t>
        </r>
        <r>
          <rPr>
            <sz val="8"/>
            <rFont val="Tahoma"/>
            <family val="0"/>
          </rPr>
          <t xml:space="preserve">
 </t>
        </r>
      </text>
    </comment>
    <comment ref="C16" authorId="0">
      <text>
        <r>
          <rPr>
            <b/>
            <sz val="8"/>
            <rFont val="Tahoma"/>
            <family val="0"/>
          </rPr>
          <t xml:space="preserve">Calculated Voltage of Battery Pack under Load. 
Insert other value manually if calculated value is incorrect
</t>
        </r>
      </text>
    </comment>
    <comment ref="E16" authorId="0">
      <text>
        <r>
          <rPr>
            <b/>
            <sz val="8"/>
            <rFont val="Tahoma"/>
            <family val="0"/>
          </rPr>
          <t xml:space="preserve">Battery Input Power
The Output Power varies between 75 an 88% of the input power
</t>
        </r>
      </text>
    </comment>
    <comment ref="A23" authorId="0">
      <text>
        <r>
          <rPr>
            <b/>
            <sz val="8"/>
            <rFont val="Tahoma"/>
            <family val="0"/>
          </rPr>
          <t>for more information goto
www.torcman.de/peterslrk</t>
        </r>
      </text>
    </comment>
    <comment ref="A24" authorId="0">
      <text>
        <r>
          <rPr>
            <b/>
            <sz val="8"/>
            <rFont val="Tahoma"/>
            <family val="0"/>
          </rPr>
          <t xml:space="preserve">Voltage Resulting from Electro-Magnetic-Force
</t>
        </r>
      </text>
    </comment>
    <comment ref="A25" authorId="0">
      <text>
        <r>
          <rPr>
            <b/>
            <sz val="8"/>
            <rFont val="Tahoma"/>
            <family val="0"/>
          </rPr>
          <t>Rotation Speed per Volt at Load</t>
        </r>
      </text>
    </comment>
    <comment ref="A26" authorId="0">
      <text>
        <r>
          <rPr>
            <b/>
            <sz val="8"/>
            <rFont val="Tahoma"/>
            <family val="0"/>
          </rPr>
          <t>for more information goto
www.torcman.de/peterslrk</t>
        </r>
      </text>
    </comment>
    <comment ref="A27" authorId="0">
      <text>
        <r>
          <rPr>
            <b/>
            <sz val="8"/>
            <rFont val="Tahoma"/>
            <family val="0"/>
          </rPr>
          <t>Specific rpm at current = 0A, 
at idle current, the rpm is marginal smaller</t>
        </r>
      </text>
    </comment>
    <comment ref="A28" authorId="0">
      <text>
        <r>
          <rPr>
            <b/>
            <sz val="8"/>
            <rFont val="Tahoma"/>
            <family val="0"/>
          </rPr>
          <t xml:space="preserve">Resistance between the connections
</t>
        </r>
      </text>
    </comment>
    <comment ref="A29" authorId="0">
      <text>
        <r>
          <rPr>
            <b/>
            <sz val="8"/>
            <rFont val="Tahoma"/>
            <family val="0"/>
          </rPr>
          <t>it has become usual to count the number of turns per tooth although every coil has two teeth and therefore the real number is doubled</t>
        </r>
      </text>
    </comment>
    <comment ref="A30" authorId="0">
      <text>
        <r>
          <rPr>
            <b/>
            <sz val="8"/>
            <rFont val="Tahoma"/>
            <family val="0"/>
          </rPr>
          <t xml:space="preserve">This is the real  slot area, which can be used for filling up with wire. Experienced motor builders can increase this value by approximately 10%
</t>
        </r>
      </text>
    </comment>
    <comment ref="A31" authorId="0">
      <text>
        <r>
          <rPr>
            <b/>
            <sz val="8"/>
            <rFont val="Tahoma"/>
            <family val="0"/>
          </rPr>
          <t>Wire Cross Section, not depending on number opf parallel wired</t>
        </r>
      </text>
    </comment>
    <comment ref="A32" authorId="0">
      <text>
        <r>
          <rPr>
            <b/>
            <sz val="8"/>
            <rFont val="Tahoma"/>
            <family val="0"/>
          </rPr>
          <t>Number of parallel wound wires</t>
        </r>
      </text>
    </comment>
    <comment ref="A33" authorId="0">
      <text>
        <r>
          <rPr>
            <b/>
            <sz val="8"/>
            <rFont val="Tahoma"/>
            <family val="0"/>
          </rPr>
          <t>Wire Diameter (without isolation coating) .
Recommended :
TM280 up to 0.8mm (0.9mm)
TM350 up to 1.0mm (1.1mm)
TM430 up to 1.2mm (1.5mm)
Values in Brackets for experienced users</t>
        </r>
      </text>
    </comment>
    <comment ref="A34" authorId="0">
      <text>
        <r>
          <rPr>
            <b/>
            <sz val="8"/>
            <rFont val="Tahoma"/>
            <family val="0"/>
          </rPr>
          <t>Wire Length of coil on one tooth</t>
        </r>
      </text>
    </comment>
    <comment ref="A35" authorId="0">
      <text>
        <r>
          <rPr>
            <b/>
            <sz val="8"/>
            <rFont val="Tahoma"/>
            <family val="0"/>
          </rPr>
          <t>Coil resistance</t>
        </r>
      </text>
    </comment>
    <comment ref="A36" authorId="0">
      <text>
        <r>
          <rPr>
            <b/>
            <sz val="8"/>
            <rFont val="Tahoma"/>
            <family val="2"/>
          </rPr>
          <t>Resistance between connetions of motor</t>
        </r>
      </text>
    </comment>
    <comment ref="A37" authorId="0">
      <text>
        <r>
          <rPr>
            <b/>
            <sz val="8"/>
            <rFont val="Tahoma"/>
            <family val="0"/>
          </rPr>
          <t xml:space="preserve">Will the wire be able to stand the current ?
</t>
        </r>
      </text>
    </comment>
    <comment ref="G16" authorId="0">
      <text>
        <r>
          <rPr>
            <b/>
            <sz val="8"/>
            <rFont val="Tahoma"/>
            <family val="0"/>
          </rPr>
          <t>Select  n100w  value from Sheet Aeronaut&amp;APC or SlowFlyer (consider center part drilling distance for folding props !</t>
        </r>
      </text>
    </comment>
  </commentList>
</comments>
</file>

<file path=xl/comments5.xml><?xml version="1.0" encoding="utf-8"?>
<comments xmlns="http://schemas.openxmlformats.org/spreadsheetml/2006/main">
  <authors>
    <author>Peter Rother</author>
    <author>jochenz</author>
  </authors>
  <commentList>
    <comment ref="C6" authorId="0">
      <text>
        <r>
          <rPr>
            <b/>
            <sz val="8"/>
            <rFont val="Tahoma"/>
            <family val="0"/>
          </rPr>
          <t>Calculated as average Voltage at 10A plus loss of Rib at Rib*10A and Voltage at 20A plus loss of Rib at Rib*20A
Linear model of the cell :
Ub=U-I*rib 
where U was measured experimental as Ub(10A) and Ub(20A) after 50% of discharging .</t>
        </r>
      </text>
    </comment>
    <comment ref="D6" authorId="0">
      <text>
        <r>
          <rPr>
            <b/>
            <sz val="8"/>
            <rFont val="Tahoma"/>
            <family val="0"/>
          </rPr>
          <t>normal Cells  0,004-0,005
pushed Cells  0,003 - 0,004
old Cells   0,006 -0,007
SlowFly cells  0,03 - 0,05</t>
        </r>
      </text>
    </comment>
    <comment ref="E6" authorId="0">
      <text>
        <r>
          <rPr>
            <b/>
            <sz val="8"/>
            <rFont val="Tahoma"/>
            <family val="0"/>
          </rPr>
          <t>Cable length from Battery output to Controller input</t>
        </r>
      </text>
    </comment>
    <comment ref="F6" authorId="0">
      <text>
        <r>
          <rPr>
            <b/>
            <sz val="8"/>
            <rFont val="Tahoma"/>
            <family val="0"/>
          </rPr>
          <t xml:space="preserve">Cross Section of Cable from Battery to Controller :
1.5  upto 15A
2.5  upto 40A
4.0 &gt; 40A
</t>
        </r>
      </text>
    </comment>
    <comment ref="G6" authorId="0">
      <text>
        <r>
          <rPr>
            <b/>
            <sz val="8"/>
            <rFont val="Tahoma"/>
            <family val="0"/>
          </rPr>
          <t>Calculated Impedance of 
complete battery pack with cable</t>
        </r>
      </text>
    </comment>
    <comment ref="B10" authorId="0">
      <text>
        <r>
          <rPr>
            <b/>
            <sz val="8"/>
            <rFont val="Tahoma"/>
            <family val="0"/>
          </rPr>
          <t>&lt; 40A ~ 8m</t>
        </r>
        <r>
          <rPr>
            <b/>
            <sz val="8"/>
            <rFont val="Symbol"/>
            <family val="1"/>
          </rPr>
          <t>W</t>
        </r>
        <r>
          <rPr>
            <b/>
            <sz val="8"/>
            <rFont val="Tahoma"/>
            <family val="0"/>
          </rPr>
          <t xml:space="preserve">  
&gt; 40A ~ 4m</t>
        </r>
        <r>
          <rPr>
            <b/>
            <sz val="8"/>
            <rFont val="Symbol"/>
            <family val="1"/>
          </rPr>
          <t xml:space="preserve">W
 </t>
        </r>
      </text>
    </comment>
    <comment ref="B13" authorId="0">
      <text>
        <r>
          <rPr>
            <b/>
            <sz val="8"/>
            <rFont val="Tahoma"/>
            <family val="0"/>
          </rPr>
          <t>As the rotation speed is essentially depending on the applied acontroller it is important to check this value !</t>
        </r>
      </text>
    </comment>
    <comment ref="B16" authorId="1">
      <text>
        <r>
          <rPr>
            <b/>
            <sz val="8"/>
            <rFont val="Tahoma"/>
            <family val="0"/>
          </rPr>
          <t>Height (Length) of Statorblock without Isolation</t>
        </r>
        <r>
          <rPr>
            <sz val="8"/>
            <rFont val="Tahoma"/>
            <family val="0"/>
          </rPr>
          <t xml:space="preserve">
 </t>
        </r>
      </text>
    </comment>
    <comment ref="C16" authorId="0">
      <text>
        <r>
          <rPr>
            <b/>
            <sz val="8"/>
            <rFont val="Tahoma"/>
            <family val="0"/>
          </rPr>
          <t xml:space="preserve">Calculated Voltage of Battery Pack under Load. 
Insert other value manually if calculated value is incorrect
</t>
        </r>
      </text>
    </comment>
    <comment ref="E16" authorId="0">
      <text>
        <r>
          <rPr>
            <b/>
            <sz val="8"/>
            <rFont val="Tahoma"/>
            <family val="0"/>
          </rPr>
          <t xml:space="preserve">Battery Input Power
The Output Power varies between 75 an 88% of the input power
</t>
        </r>
      </text>
    </comment>
    <comment ref="A23" authorId="0">
      <text>
        <r>
          <rPr>
            <b/>
            <sz val="8"/>
            <rFont val="Tahoma"/>
            <family val="0"/>
          </rPr>
          <t>for more information goto
www.torcman.de/peterslrk</t>
        </r>
      </text>
    </comment>
    <comment ref="A24" authorId="0">
      <text>
        <r>
          <rPr>
            <b/>
            <sz val="8"/>
            <rFont val="Tahoma"/>
            <family val="0"/>
          </rPr>
          <t xml:space="preserve">Voltage Resulting from Electro-Magnetic-Force
</t>
        </r>
      </text>
    </comment>
    <comment ref="A25" authorId="0">
      <text>
        <r>
          <rPr>
            <b/>
            <sz val="8"/>
            <rFont val="Tahoma"/>
            <family val="0"/>
          </rPr>
          <t>Rotation Speed per Volt at Load</t>
        </r>
      </text>
    </comment>
    <comment ref="A26" authorId="0">
      <text>
        <r>
          <rPr>
            <b/>
            <sz val="8"/>
            <rFont val="Tahoma"/>
            <family val="0"/>
          </rPr>
          <t>for more information goto
www.torcman.de/peterslrk</t>
        </r>
      </text>
    </comment>
    <comment ref="A27" authorId="0">
      <text>
        <r>
          <rPr>
            <b/>
            <sz val="8"/>
            <rFont val="Tahoma"/>
            <family val="0"/>
          </rPr>
          <t>Specific rpm at current = 0A, 
at idle current, the rpm is marginal smaller</t>
        </r>
      </text>
    </comment>
    <comment ref="A28" authorId="0">
      <text>
        <r>
          <rPr>
            <b/>
            <sz val="8"/>
            <rFont val="Tahoma"/>
            <family val="0"/>
          </rPr>
          <t xml:space="preserve">Resistance between the connections
</t>
        </r>
      </text>
    </comment>
    <comment ref="A29" authorId="0">
      <text>
        <r>
          <rPr>
            <b/>
            <sz val="8"/>
            <rFont val="Tahoma"/>
            <family val="0"/>
          </rPr>
          <t>it has become usual to count the number of turns per tooth although every coil has two teeth and therefore the real number is doubled</t>
        </r>
      </text>
    </comment>
    <comment ref="A30" authorId="0">
      <text>
        <r>
          <rPr>
            <b/>
            <sz val="8"/>
            <rFont val="Tahoma"/>
            <family val="0"/>
          </rPr>
          <t xml:space="preserve">This is the real  slot area, which can be used for filling up with wire. Experienced motor builders can increase this value by approximately 10%
</t>
        </r>
      </text>
    </comment>
    <comment ref="A31" authorId="0">
      <text>
        <r>
          <rPr>
            <b/>
            <sz val="8"/>
            <rFont val="Tahoma"/>
            <family val="0"/>
          </rPr>
          <t>Wire Cross Section, not depending on number opf parallel wired</t>
        </r>
      </text>
    </comment>
    <comment ref="A32" authorId="0">
      <text>
        <r>
          <rPr>
            <b/>
            <sz val="8"/>
            <rFont val="Tahoma"/>
            <family val="0"/>
          </rPr>
          <t>Number of parallel wound wires</t>
        </r>
      </text>
    </comment>
    <comment ref="A33" authorId="0">
      <text>
        <r>
          <rPr>
            <b/>
            <sz val="8"/>
            <rFont val="Tahoma"/>
            <family val="0"/>
          </rPr>
          <t>Wire Diameter (without isolation coating) .
Recommended :
TM280 up to 0.8mm (0.9mm)
TM350 up to 1.0mm (1.1mm)
TM430 up to 1.2mm (1.5mm)
Values in Brackets for experienced users</t>
        </r>
      </text>
    </comment>
    <comment ref="A34" authorId="0">
      <text>
        <r>
          <rPr>
            <b/>
            <sz val="8"/>
            <rFont val="Tahoma"/>
            <family val="0"/>
          </rPr>
          <t>Wire Length of coil on one tooth</t>
        </r>
      </text>
    </comment>
    <comment ref="A35" authorId="0">
      <text>
        <r>
          <rPr>
            <b/>
            <sz val="8"/>
            <rFont val="Tahoma"/>
            <family val="0"/>
          </rPr>
          <t>Coil resistance</t>
        </r>
      </text>
    </comment>
    <comment ref="A36" authorId="0">
      <text>
        <r>
          <rPr>
            <b/>
            <sz val="8"/>
            <rFont val="Tahoma"/>
            <family val="2"/>
          </rPr>
          <t>Resistance between connetions of motor</t>
        </r>
      </text>
    </comment>
    <comment ref="A37" authorId="0">
      <text>
        <r>
          <rPr>
            <b/>
            <sz val="8"/>
            <rFont val="Tahoma"/>
            <family val="0"/>
          </rPr>
          <t xml:space="preserve">Will the wire be able to stand the current ?
</t>
        </r>
      </text>
    </comment>
    <comment ref="G16" authorId="0">
      <text>
        <r>
          <rPr>
            <b/>
            <sz val="8"/>
            <rFont val="Tahoma"/>
            <family val="0"/>
          </rPr>
          <t>Select  n100w  value from Sheet Aeronaut&amp;APC or SlowFlyer (consider center part drilling distance for folding props !</t>
        </r>
      </text>
    </comment>
  </commentList>
</comments>
</file>

<file path=xl/comments6.xml><?xml version="1.0" encoding="utf-8"?>
<comments xmlns="http://schemas.openxmlformats.org/spreadsheetml/2006/main">
  <authors>
    <author>Peter Rother</author>
    <author>jochenz</author>
  </authors>
  <commentList>
    <comment ref="A23" authorId="0">
      <text>
        <r>
          <rPr>
            <b/>
            <sz val="8"/>
            <rFont val="Tahoma"/>
            <family val="0"/>
          </rPr>
          <t>for more information goto
www.torcman.de/peterslrk</t>
        </r>
      </text>
    </comment>
    <comment ref="A24" authorId="0">
      <text>
        <r>
          <rPr>
            <b/>
            <sz val="8"/>
            <rFont val="Tahoma"/>
            <family val="0"/>
          </rPr>
          <t xml:space="preserve">Voltage Resulting from Electro-Magnetic-Force
</t>
        </r>
      </text>
    </comment>
    <comment ref="A25" authorId="0">
      <text>
        <r>
          <rPr>
            <b/>
            <sz val="8"/>
            <rFont val="Tahoma"/>
            <family val="0"/>
          </rPr>
          <t>Rotation Speed per Volt at Load</t>
        </r>
      </text>
    </comment>
    <comment ref="A26" authorId="0">
      <text>
        <r>
          <rPr>
            <b/>
            <sz val="8"/>
            <rFont val="Tahoma"/>
            <family val="0"/>
          </rPr>
          <t>for more information goto
www.torcman.de/peterslrk</t>
        </r>
      </text>
    </comment>
    <comment ref="A27" authorId="0">
      <text>
        <r>
          <rPr>
            <b/>
            <sz val="8"/>
            <rFont val="Tahoma"/>
            <family val="0"/>
          </rPr>
          <t>Specific rpm at current = 0A, 
at idle current, the rpm is marginal smaller</t>
        </r>
      </text>
    </comment>
    <comment ref="A28" authorId="0">
      <text>
        <r>
          <rPr>
            <b/>
            <sz val="8"/>
            <rFont val="Tahoma"/>
            <family val="0"/>
          </rPr>
          <t xml:space="preserve">Resistance between the connections
</t>
        </r>
      </text>
    </comment>
    <comment ref="A29" authorId="0">
      <text>
        <r>
          <rPr>
            <b/>
            <sz val="8"/>
            <rFont val="Tahoma"/>
            <family val="0"/>
          </rPr>
          <t>it has become usual to count the number of turns per tooth although every coil has two teeth and therefore the real number is doubled</t>
        </r>
      </text>
    </comment>
    <comment ref="A30" authorId="0">
      <text>
        <r>
          <rPr>
            <b/>
            <sz val="8"/>
            <rFont val="Tahoma"/>
            <family val="0"/>
          </rPr>
          <t xml:space="preserve">This is the real  slot area, which can be used for filling up with wire. Experienced motor builders can increase this value by approximately 10%
</t>
        </r>
      </text>
    </comment>
    <comment ref="A31" authorId="0">
      <text>
        <r>
          <rPr>
            <b/>
            <sz val="8"/>
            <rFont val="Tahoma"/>
            <family val="0"/>
          </rPr>
          <t>Wire Cross Section, not depending on number opf parallel wired</t>
        </r>
      </text>
    </comment>
    <comment ref="A32" authorId="0">
      <text>
        <r>
          <rPr>
            <b/>
            <sz val="8"/>
            <rFont val="Tahoma"/>
            <family val="0"/>
          </rPr>
          <t>Number of parallel wound wires</t>
        </r>
      </text>
    </comment>
    <comment ref="A33" authorId="0">
      <text>
        <r>
          <rPr>
            <b/>
            <sz val="8"/>
            <rFont val="Tahoma"/>
            <family val="0"/>
          </rPr>
          <t>Wire Diameter (without isolation coating) .
Recommended :
TM280 up to 0.8mm (0.9mm)
TM350 up to 1.0mm (1.1mm)
TM430 up to 1.2mm (1.5mm)
Values in Brackets for experienced users</t>
        </r>
      </text>
    </comment>
    <comment ref="A34" authorId="0">
      <text>
        <r>
          <rPr>
            <b/>
            <sz val="8"/>
            <rFont val="Tahoma"/>
            <family val="0"/>
          </rPr>
          <t>Wire Length of coil on one tooth</t>
        </r>
      </text>
    </comment>
    <comment ref="A35" authorId="0">
      <text>
        <r>
          <rPr>
            <b/>
            <sz val="8"/>
            <rFont val="Tahoma"/>
            <family val="0"/>
          </rPr>
          <t>Coil resistance</t>
        </r>
      </text>
    </comment>
    <comment ref="A36" authorId="0">
      <text>
        <r>
          <rPr>
            <b/>
            <sz val="8"/>
            <rFont val="Tahoma"/>
            <family val="2"/>
          </rPr>
          <t>Resistance between connetions of motor</t>
        </r>
      </text>
    </comment>
    <comment ref="A37" authorId="0">
      <text>
        <r>
          <rPr>
            <b/>
            <sz val="8"/>
            <rFont val="Tahoma"/>
            <family val="0"/>
          </rPr>
          <t xml:space="preserve">Will the wire be able to stand the current ?
</t>
        </r>
      </text>
    </comment>
    <comment ref="C6" authorId="0">
      <text>
        <r>
          <rPr>
            <b/>
            <sz val="8"/>
            <rFont val="Tahoma"/>
            <family val="0"/>
          </rPr>
          <t>Calculated as average Voltage at 10A plus loss of Rib at Rib*10A and Voltage at 20A plus loss of Rib at Rib*20A
Linear model of the cell :
Ub=U-I*rib 
where U was measured experimental as Ub(10A) and Ub(20A) after 50% of discharging .</t>
        </r>
      </text>
    </comment>
    <comment ref="D6" authorId="0">
      <text>
        <r>
          <rPr>
            <b/>
            <sz val="8"/>
            <rFont val="Tahoma"/>
            <family val="0"/>
          </rPr>
          <t>normal Cells  0,004-0,005
pushed Cells  0,003 - 0,004
old Cells   0,006 -0,007
SlowFly cells  0,03 - 0,05</t>
        </r>
      </text>
    </comment>
    <comment ref="E6" authorId="0">
      <text>
        <r>
          <rPr>
            <b/>
            <sz val="8"/>
            <rFont val="Tahoma"/>
            <family val="0"/>
          </rPr>
          <t>Cable length from Battery output to Controller input</t>
        </r>
      </text>
    </comment>
    <comment ref="F6" authorId="0">
      <text>
        <r>
          <rPr>
            <b/>
            <sz val="8"/>
            <rFont val="Tahoma"/>
            <family val="0"/>
          </rPr>
          <t xml:space="preserve">Cross Section of Cable from Battery to Controller :
1.5  upto 15A
2.5  upto 40A
4.0 &gt; 40A
</t>
        </r>
      </text>
    </comment>
    <comment ref="G6" authorId="0">
      <text>
        <r>
          <rPr>
            <b/>
            <sz val="8"/>
            <rFont val="Tahoma"/>
            <family val="0"/>
          </rPr>
          <t>Calculated Impedance of 
complete battery pack with cable</t>
        </r>
      </text>
    </comment>
    <comment ref="B10" authorId="0">
      <text>
        <r>
          <rPr>
            <b/>
            <sz val="8"/>
            <rFont val="Tahoma"/>
            <family val="0"/>
          </rPr>
          <t>&lt; 40A ~ 8m</t>
        </r>
        <r>
          <rPr>
            <b/>
            <sz val="8"/>
            <rFont val="Symbol"/>
            <family val="1"/>
          </rPr>
          <t>W</t>
        </r>
        <r>
          <rPr>
            <b/>
            <sz val="8"/>
            <rFont val="Tahoma"/>
            <family val="0"/>
          </rPr>
          <t xml:space="preserve">  
&gt; 40A ~ 4m</t>
        </r>
        <r>
          <rPr>
            <b/>
            <sz val="8"/>
            <rFont val="Symbol"/>
            <family val="1"/>
          </rPr>
          <t xml:space="preserve">W
 </t>
        </r>
      </text>
    </comment>
    <comment ref="B13" authorId="0">
      <text>
        <r>
          <rPr>
            <b/>
            <sz val="8"/>
            <rFont val="Tahoma"/>
            <family val="0"/>
          </rPr>
          <t>As the rotation speed is essentially depending on the applied acontroller it is important to check this value !</t>
        </r>
      </text>
    </comment>
    <comment ref="B16" authorId="1">
      <text>
        <r>
          <rPr>
            <b/>
            <sz val="8"/>
            <rFont val="Tahoma"/>
            <family val="0"/>
          </rPr>
          <t>Height (Length) of Statorblock without Isolation</t>
        </r>
        <r>
          <rPr>
            <sz val="8"/>
            <rFont val="Tahoma"/>
            <family val="0"/>
          </rPr>
          <t xml:space="preserve">
 </t>
        </r>
      </text>
    </comment>
    <comment ref="C16" authorId="0">
      <text>
        <r>
          <rPr>
            <b/>
            <sz val="8"/>
            <rFont val="Tahoma"/>
            <family val="0"/>
          </rPr>
          <t xml:space="preserve">Calculated Voltage of Battery Pack under Load. 
Insert other value manually if calculated value is incorrect
</t>
        </r>
      </text>
    </comment>
    <comment ref="E16" authorId="0">
      <text>
        <r>
          <rPr>
            <b/>
            <sz val="8"/>
            <rFont val="Tahoma"/>
            <family val="0"/>
          </rPr>
          <t xml:space="preserve">Battery Input Power
The Output Power varies between 75 an 88% of the input power
</t>
        </r>
      </text>
    </comment>
    <comment ref="G16" authorId="0">
      <text>
        <r>
          <rPr>
            <b/>
            <sz val="8"/>
            <rFont val="Tahoma"/>
            <family val="0"/>
          </rPr>
          <t>Select  n100w  value from Sheet Aeronaut&amp;APC or SlowFlyer (consider center part drilling distance for folding props !</t>
        </r>
      </text>
    </comment>
  </commentList>
</comments>
</file>

<file path=xl/comments7.xml><?xml version="1.0" encoding="utf-8"?>
<comments xmlns="http://schemas.openxmlformats.org/spreadsheetml/2006/main">
  <authors>
    <author>Peter Rother</author>
    <author>jochenz</author>
  </authors>
  <commentList>
    <comment ref="C6" authorId="0">
      <text>
        <r>
          <rPr>
            <b/>
            <sz val="8"/>
            <rFont val="Tahoma"/>
            <family val="0"/>
          </rPr>
          <t>Calculated as average Voltage at 10A plus loss of Rib at Rib*10A and Voltage at 20A plus loss of Rib at Rib*20A
Linear model of the cell :
Ub=U-I*rib 
where U was measured experimental as Ub(10A) and Ub(20A) after 50% of discharging .</t>
        </r>
      </text>
    </comment>
    <comment ref="D6" authorId="0">
      <text>
        <r>
          <rPr>
            <b/>
            <sz val="8"/>
            <rFont val="Tahoma"/>
            <family val="0"/>
          </rPr>
          <t>normal Cells  0,004-0,005
pushed Cells  0,003 - 0,004
old Cells   0,006 -0,007
SlowFly cells  0,03 - 0,05</t>
        </r>
      </text>
    </comment>
    <comment ref="E6" authorId="0">
      <text>
        <r>
          <rPr>
            <b/>
            <sz val="8"/>
            <rFont val="Tahoma"/>
            <family val="0"/>
          </rPr>
          <t>Cable length from Battery output to Controller input</t>
        </r>
      </text>
    </comment>
    <comment ref="F6" authorId="0">
      <text>
        <r>
          <rPr>
            <b/>
            <sz val="8"/>
            <rFont val="Tahoma"/>
            <family val="0"/>
          </rPr>
          <t xml:space="preserve">Cross Section of Cable from Battery to Controller :
1.5  upto 15A
2.5  upto 40A
4.0 &gt; 40A
</t>
        </r>
      </text>
    </comment>
    <comment ref="G6" authorId="0">
      <text>
        <r>
          <rPr>
            <b/>
            <sz val="8"/>
            <rFont val="Tahoma"/>
            <family val="0"/>
          </rPr>
          <t>Calculated Impedance of 
complete battery pack with cable</t>
        </r>
      </text>
    </comment>
    <comment ref="B10" authorId="0">
      <text>
        <r>
          <rPr>
            <b/>
            <sz val="8"/>
            <rFont val="Tahoma"/>
            <family val="0"/>
          </rPr>
          <t>&lt; 40A ~ 8m</t>
        </r>
        <r>
          <rPr>
            <b/>
            <sz val="8"/>
            <rFont val="Symbol"/>
            <family val="1"/>
          </rPr>
          <t>W</t>
        </r>
        <r>
          <rPr>
            <b/>
            <sz val="8"/>
            <rFont val="Tahoma"/>
            <family val="0"/>
          </rPr>
          <t xml:space="preserve">  
&gt; 40A ~ 4m</t>
        </r>
        <r>
          <rPr>
            <b/>
            <sz val="8"/>
            <rFont val="Symbol"/>
            <family val="1"/>
          </rPr>
          <t xml:space="preserve">W
 </t>
        </r>
      </text>
    </comment>
    <comment ref="B13" authorId="0">
      <text>
        <r>
          <rPr>
            <b/>
            <sz val="8"/>
            <rFont val="Tahoma"/>
            <family val="0"/>
          </rPr>
          <t>As the rotation speed is essentially depending on the applied acontroller it is important to check this value !</t>
        </r>
      </text>
    </comment>
    <comment ref="B16" authorId="1">
      <text>
        <r>
          <rPr>
            <b/>
            <sz val="8"/>
            <rFont val="Tahoma"/>
            <family val="0"/>
          </rPr>
          <t>Height (Length) of Statorblock without Isolation</t>
        </r>
        <r>
          <rPr>
            <sz val="8"/>
            <rFont val="Tahoma"/>
            <family val="0"/>
          </rPr>
          <t xml:space="preserve">
 </t>
        </r>
      </text>
    </comment>
    <comment ref="C16" authorId="0">
      <text>
        <r>
          <rPr>
            <b/>
            <sz val="8"/>
            <rFont val="Tahoma"/>
            <family val="0"/>
          </rPr>
          <t xml:space="preserve">Calculated Voltage of Battery Pack under Load. 
Insert other value manually if calculated value is incorrect
</t>
        </r>
      </text>
    </comment>
    <comment ref="E16" authorId="0">
      <text>
        <r>
          <rPr>
            <b/>
            <sz val="8"/>
            <rFont val="Tahoma"/>
            <family val="0"/>
          </rPr>
          <t xml:space="preserve">Battery Input Power
The Output Power varies between 75 an 88% of the input power
</t>
        </r>
      </text>
    </comment>
    <comment ref="A23" authorId="0">
      <text>
        <r>
          <rPr>
            <b/>
            <sz val="8"/>
            <rFont val="Tahoma"/>
            <family val="0"/>
          </rPr>
          <t>for more information goto
www.torcman.de/peterslrk</t>
        </r>
      </text>
    </comment>
    <comment ref="A24" authorId="0">
      <text>
        <r>
          <rPr>
            <b/>
            <sz val="8"/>
            <rFont val="Tahoma"/>
            <family val="0"/>
          </rPr>
          <t xml:space="preserve">Voltage Resulting from Electro-Magnetic-Force
</t>
        </r>
      </text>
    </comment>
    <comment ref="A25" authorId="0">
      <text>
        <r>
          <rPr>
            <b/>
            <sz val="8"/>
            <rFont val="Tahoma"/>
            <family val="0"/>
          </rPr>
          <t>Rotation Speed per Volt at Load</t>
        </r>
      </text>
    </comment>
    <comment ref="A26" authorId="0">
      <text>
        <r>
          <rPr>
            <b/>
            <sz val="8"/>
            <rFont val="Tahoma"/>
            <family val="0"/>
          </rPr>
          <t>for more information goto
www.torcman.de/peterslrk</t>
        </r>
      </text>
    </comment>
    <comment ref="A27" authorId="0">
      <text>
        <r>
          <rPr>
            <b/>
            <sz val="8"/>
            <rFont val="Tahoma"/>
            <family val="0"/>
          </rPr>
          <t>Specific rpm at current = 0A, 
at idle current, the rpm is marginal smaller</t>
        </r>
      </text>
    </comment>
    <comment ref="A28" authorId="0">
      <text>
        <r>
          <rPr>
            <b/>
            <sz val="8"/>
            <rFont val="Tahoma"/>
            <family val="0"/>
          </rPr>
          <t xml:space="preserve">Resistance between the connections
</t>
        </r>
      </text>
    </comment>
    <comment ref="A29" authorId="0">
      <text>
        <r>
          <rPr>
            <b/>
            <sz val="8"/>
            <rFont val="Tahoma"/>
            <family val="0"/>
          </rPr>
          <t>it has become usual to count the number of turns per tooth although every coil has two teeth and therefore the real number is doubled</t>
        </r>
      </text>
    </comment>
    <comment ref="A30" authorId="0">
      <text>
        <r>
          <rPr>
            <b/>
            <sz val="8"/>
            <rFont val="Tahoma"/>
            <family val="0"/>
          </rPr>
          <t xml:space="preserve">This is the real  slot area, which can be used for filling up with wire. Experienced motor builders can increase this value by approximately 10%
</t>
        </r>
      </text>
    </comment>
    <comment ref="A31" authorId="0">
      <text>
        <r>
          <rPr>
            <b/>
            <sz val="8"/>
            <rFont val="Tahoma"/>
            <family val="0"/>
          </rPr>
          <t>Wire Cross Section, not depending on number opf parallel wired</t>
        </r>
      </text>
    </comment>
    <comment ref="A32" authorId="0">
      <text>
        <r>
          <rPr>
            <b/>
            <sz val="8"/>
            <rFont val="Tahoma"/>
            <family val="0"/>
          </rPr>
          <t>Number of parallel wound wires</t>
        </r>
      </text>
    </comment>
    <comment ref="A33" authorId="0">
      <text>
        <r>
          <rPr>
            <b/>
            <sz val="8"/>
            <rFont val="Tahoma"/>
            <family val="0"/>
          </rPr>
          <t>Wire Diameter (without isolation coating) .
Recommended :
TM280 up to 0.8mm (0.9mm)
TM350 up to 1.0mm (1.1mm)
TM430 up to 1.2mm (1.5mm)
Values in Brackets for experienced users</t>
        </r>
      </text>
    </comment>
    <comment ref="A34" authorId="0">
      <text>
        <r>
          <rPr>
            <b/>
            <sz val="8"/>
            <rFont val="Tahoma"/>
            <family val="0"/>
          </rPr>
          <t>Wire Length of coil on one tooth</t>
        </r>
      </text>
    </comment>
    <comment ref="A35" authorId="0">
      <text>
        <r>
          <rPr>
            <b/>
            <sz val="8"/>
            <rFont val="Tahoma"/>
            <family val="0"/>
          </rPr>
          <t>Coil resistance</t>
        </r>
      </text>
    </comment>
    <comment ref="A36" authorId="0">
      <text>
        <r>
          <rPr>
            <b/>
            <sz val="8"/>
            <rFont val="Tahoma"/>
            <family val="2"/>
          </rPr>
          <t>Resistance between connetions of motor</t>
        </r>
      </text>
    </comment>
    <comment ref="A37" authorId="0">
      <text>
        <r>
          <rPr>
            <b/>
            <sz val="8"/>
            <rFont val="Tahoma"/>
            <family val="0"/>
          </rPr>
          <t xml:space="preserve">Will the wire be able to stand the current ?
</t>
        </r>
      </text>
    </comment>
    <comment ref="G16" authorId="0">
      <text>
        <r>
          <rPr>
            <b/>
            <sz val="8"/>
            <rFont val="Tahoma"/>
            <family val="0"/>
          </rPr>
          <t>Select  n100w  value from Sheet Aeronaut&amp;APC or SlowFlyer (consider center part drilling distance for folding props !</t>
        </r>
      </text>
    </comment>
  </commentList>
</comments>
</file>

<file path=xl/comments8.xml><?xml version="1.0" encoding="utf-8"?>
<comments xmlns="http://schemas.openxmlformats.org/spreadsheetml/2006/main">
  <authors>
    <author>Peter Rother</author>
    <author>jochenz</author>
  </authors>
  <commentList>
    <comment ref="C6" authorId="0">
      <text>
        <r>
          <rPr>
            <b/>
            <sz val="8"/>
            <rFont val="Tahoma"/>
            <family val="0"/>
          </rPr>
          <t>Calculated as average Voltage at 10A plus loss of Rib at Rib*10A and Voltage at 20A plus loss of Rib at Rib*20A
Linear model of the cell :
Ub=U-I*rib 
where U was measured experimental as Ub(10A) and Ub(20A) after 50% of discharging .</t>
        </r>
      </text>
    </comment>
    <comment ref="D6" authorId="0">
      <text>
        <r>
          <rPr>
            <b/>
            <sz val="8"/>
            <rFont val="Tahoma"/>
            <family val="0"/>
          </rPr>
          <t>normal Cells  0,004-0,005
pushed Cells  0,003 - 0,004
old Cells   0,006 -0,007
SlowFly cells  0,03 - 0,05</t>
        </r>
      </text>
    </comment>
    <comment ref="E6" authorId="0">
      <text>
        <r>
          <rPr>
            <b/>
            <sz val="8"/>
            <rFont val="Tahoma"/>
            <family val="0"/>
          </rPr>
          <t>Cable length from Battery output to Controller input</t>
        </r>
      </text>
    </comment>
    <comment ref="F6" authorId="0">
      <text>
        <r>
          <rPr>
            <b/>
            <sz val="8"/>
            <rFont val="Tahoma"/>
            <family val="0"/>
          </rPr>
          <t xml:space="preserve">Cross Section of Cable from Battery to Controller :
1.5  upto 15A
2.5  upto 40A
4.0 &gt; 40A
</t>
        </r>
      </text>
    </comment>
    <comment ref="G6" authorId="0">
      <text>
        <r>
          <rPr>
            <b/>
            <sz val="8"/>
            <rFont val="Tahoma"/>
            <family val="0"/>
          </rPr>
          <t>Calculated Impedance of 
complete battery pack with cable</t>
        </r>
      </text>
    </comment>
    <comment ref="B10" authorId="0">
      <text>
        <r>
          <rPr>
            <b/>
            <sz val="8"/>
            <rFont val="Tahoma"/>
            <family val="0"/>
          </rPr>
          <t>&lt; 40A ~ 8m</t>
        </r>
        <r>
          <rPr>
            <b/>
            <sz val="8"/>
            <rFont val="Symbol"/>
            <family val="1"/>
          </rPr>
          <t>W</t>
        </r>
        <r>
          <rPr>
            <b/>
            <sz val="8"/>
            <rFont val="Tahoma"/>
            <family val="0"/>
          </rPr>
          <t xml:space="preserve">  
&gt; 40A ~ 4m</t>
        </r>
        <r>
          <rPr>
            <b/>
            <sz val="8"/>
            <rFont val="Symbol"/>
            <family val="1"/>
          </rPr>
          <t xml:space="preserve">W
 </t>
        </r>
      </text>
    </comment>
    <comment ref="B13" authorId="0">
      <text>
        <r>
          <rPr>
            <b/>
            <sz val="8"/>
            <rFont val="Tahoma"/>
            <family val="0"/>
          </rPr>
          <t>As the rotation speed is essentially depending on the applied acontroller it is important to check this value !</t>
        </r>
      </text>
    </comment>
    <comment ref="B16" authorId="1">
      <text>
        <r>
          <rPr>
            <b/>
            <sz val="8"/>
            <rFont val="Tahoma"/>
            <family val="0"/>
          </rPr>
          <t>Height (Length) of Statorblock without Isolation</t>
        </r>
        <r>
          <rPr>
            <sz val="8"/>
            <rFont val="Tahoma"/>
            <family val="0"/>
          </rPr>
          <t xml:space="preserve">
 </t>
        </r>
      </text>
    </comment>
    <comment ref="C16" authorId="0">
      <text>
        <r>
          <rPr>
            <b/>
            <sz val="8"/>
            <rFont val="Tahoma"/>
            <family val="0"/>
          </rPr>
          <t xml:space="preserve">Calculated Voltage of Battery Pack under Load. 
Insert other value manually if calculated value is incorrect
</t>
        </r>
      </text>
    </comment>
    <comment ref="E16" authorId="0">
      <text>
        <r>
          <rPr>
            <b/>
            <sz val="8"/>
            <rFont val="Tahoma"/>
            <family val="0"/>
          </rPr>
          <t xml:space="preserve">Battery Input Power
The Output Power varies between 75 an 88% of the input power
</t>
        </r>
      </text>
    </comment>
    <comment ref="A23" authorId="0">
      <text>
        <r>
          <rPr>
            <b/>
            <sz val="8"/>
            <rFont val="Tahoma"/>
            <family val="0"/>
          </rPr>
          <t>for more information goto
www.torcman.de/peterslrk</t>
        </r>
      </text>
    </comment>
    <comment ref="A24" authorId="0">
      <text>
        <r>
          <rPr>
            <b/>
            <sz val="8"/>
            <rFont val="Tahoma"/>
            <family val="0"/>
          </rPr>
          <t xml:space="preserve">Voltage Resulting from Electro-Magnetic-Force
</t>
        </r>
      </text>
    </comment>
    <comment ref="A25" authorId="0">
      <text>
        <r>
          <rPr>
            <b/>
            <sz val="8"/>
            <rFont val="Tahoma"/>
            <family val="0"/>
          </rPr>
          <t>Rotation Speed per Volt at Load</t>
        </r>
      </text>
    </comment>
    <comment ref="A26" authorId="0">
      <text>
        <r>
          <rPr>
            <b/>
            <sz val="8"/>
            <rFont val="Tahoma"/>
            <family val="0"/>
          </rPr>
          <t>for more information goto
www.torcman.de/peterslrk</t>
        </r>
      </text>
    </comment>
    <comment ref="A27" authorId="0">
      <text>
        <r>
          <rPr>
            <b/>
            <sz val="8"/>
            <rFont val="Tahoma"/>
            <family val="0"/>
          </rPr>
          <t>Specific rpm at current = 0A, 
at idle current, the rpm is marginal smaller</t>
        </r>
      </text>
    </comment>
    <comment ref="A28" authorId="0">
      <text>
        <r>
          <rPr>
            <b/>
            <sz val="8"/>
            <rFont val="Tahoma"/>
            <family val="0"/>
          </rPr>
          <t xml:space="preserve">Resistance between the connections
</t>
        </r>
      </text>
    </comment>
    <comment ref="A29" authorId="0">
      <text>
        <r>
          <rPr>
            <b/>
            <sz val="8"/>
            <rFont val="Tahoma"/>
            <family val="0"/>
          </rPr>
          <t>it has become usual to count the number of turns per tooth although every coil has two teeth and therefore the real number is doubled</t>
        </r>
      </text>
    </comment>
    <comment ref="A30" authorId="0">
      <text>
        <r>
          <rPr>
            <b/>
            <sz val="8"/>
            <rFont val="Tahoma"/>
            <family val="0"/>
          </rPr>
          <t xml:space="preserve">This is the real  slot area, which can be used for filling up with wire. Experienced motor builders can increase this value by approximately 10%
</t>
        </r>
      </text>
    </comment>
    <comment ref="A31" authorId="0">
      <text>
        <r>
          <rPr>
            <b/>
            <sz val="8"/>
            <rFont val="Tahoma"/>
            <family val="0"/>
          </rPr>
          <t>Wire Cross Section, not depending on number opf parallel wired</t>
        </r>
      </text>
    </comment>
    <comment ref="A32" authorId="0">
      <text>
        <r>
          <rPr>
            <b/>
            <sz val="8"/>
            <rFont val="Tahoma"/>
            <family val="0"/>
          </rPr>
          <t>Number of parallel wound wires</t>
        </r>
      </text>
    </comment>
    <comment ref="A33" authorId="0">
      <text>
        <r>
          <rPr>
            <b/>
            <sz val="8"/>
            <rFont val="Tahoma"/>
            <family val="0"/>
          </rPr>
          <t>Wire Diameter (without isolation coating) .
Recommended :
TM280 up to 0.8mm (0.9mm)
TM350 up to 1.0mm (1.1mm)
TM430 up to 1.2mm (1.5mm)
Values in Brackets for experienced users</t>
        </r>
      </text>
    </comment>
    <comment ref="A34" authorId="0">
      <text>
        <r>
          <rPr>
            <b/>
            <sz val="8"/>
            <rFont val="Tahoma"/>
            <family val="0"/>
          </rPr>
          <t>Wire Length of coil on one tooth</t>
        </r>
      </text>
    </comment>
    <comment ref="A35" authorId="0">
      <text>
        <r>
          <rPr>
            <b/>
            <sz val="8"/>
            <rFont val="Tahoma"/>
            <family val="0"/>
          </rPr>
          <t>Coil resistance</t>
        </r>
      </text>
    </comment>
    <comment ref="A36" authorId="0">
      <text>
        <r>
          <rPr>
            <b/>
            <sz val="8"/>
            <rFont val="Tahoma"/>
            <family val="2"/>
          </rPr>
          <t>Resistance between connetions of motor</t>
        </r>
      </text>
    </comment>
    <comment ref="A37" authorId="0">
      <text>
        <r>
          <rPr>
            <b/>
            <sz val="8"/>
            <rFont val="Tahoma"/>
            <family val="0"/>
          </rPr>
          <t xml:space="preserve">Will the wire be able to stand the current ?
</t>
        </r>
      </text>
    </comment>
    <comment ref="G16" authorId="0">
      <text>
        <r>
          <rPr>
            <b/>
            <sz val="8"/>
            <rFont val="Tahoma"/>
            <family val="0"/>
          </rPr>
          <t>Select  n100w  value from Sheet Aeronaut&amp;APC or SlowFlyer (consider center part drilling distance for folding props !</t>
        </r>
      </text>
    </comment>
  </commentList>
</comments>
</file>

<file path=xl/sharedStrings.xml><?xml version="1.0" encoding="utf-8"?>
<sst xmlns="http://schemas.openxmlformats.org/spreadsheetml/2006/main" count="681" uniqueCount="265">
  <si>
    <t>H</t>
  </si>
  <si>
    <t>Volt</t>
  </si>
  <si>
    <t>Amp</t>
  </si>
  <si>
    <t>Watt</t>
  </si>
  <si>
    <t>rpm</t>
  </si>
  <si>
    <t>W</t>
  </si>
  <si>
    <t>ns</t>
  </si>
  <si>
    <t>kns</t>
  </si>
  <si>
    <t>no</t>
  </si>
  <si>
    <t>ri</t>
  </si>
  <si>
    <t>N</t>
  </si>
  <si>
    <t>S</t>
  </si>
  <si>
    <t>S0</t>
  </si>
  <si>
    <t>D</t>
  </si>
  <si>
    <t>L</t>
  </si>
  <si>
    <t>R</t>
  </si>
  <si>
    <t>I/mm2</t>
  </si>
  <si>
    <t>mm</t>
  </si>
  <si>
    <t>n100w</t>
  </si>
  <si>
    <t>Uemk V</t>
  </si>
  <si>
    <t>http://www.luftschrauben.de/</t>
  </si>
  <si>
    <t>CAM-Carbon     20,0 x 12,5 cm /  8,0x 5,0"</t>
  </si>
  <si>
    <t>CAM-Carbon     23,0 x 12,5 cm /  9,0x 5,0"</t>
  </si>
  <si>
    <t>CAM-Carbon     24,0 x 12,5 cm /  9,5x 5,0"</t>
  </si>
  <si>
    <t>CAM-Carbon     25,5 x 15,0 cm / 10,0x 6,0"</t>
  </si>
  <si>
    <t>CAM-Carbon     25,5 x 20,0 cm / 10,0x 8,0"</t>
  </si>
  <si>
    <t>CAM-Carbon     28,0 x 18,0 cm / 11,0x 7,0"</t>
  </si>
  <si>
    <t>CAM-Carbon     28,0 x 20,0 cm / 11,0x 8,0"</t>
  </si>
  <si>
    <t>CAM-Carbon     30,5 x 16,5 cm / 12,0x 6,5"</t>
  </si>
  <si>
    <t>CAM-Carbon     30,5 x 23,0 cm / 12,0x 9,0"</t>
  </si>
  <si>
    <t>CAM-Carbon     32,0 x 19,0 cm / 12,5x 7,5"</t>
  </si>
  <si>
    <t>CAM-Carbon     33,0 x 20,0 cm / 13,0x 8,0"</t>
  </si>
  <si>
    <t>CAM-Carbon     33,0 x 28,0 cm / 13,0x11,0"</t>
  </si>
  <si>
    <t>CAM-Carbon     35,5 x 20,0 cm / 14,0x 8,0"</t>
  </si>
  <si>
    <t>CAM-Carbon     35,5 x 23,0 cm / 14,0x 9,0"</t>
  </si>
  <si>
    <t>CAM-Carbon     35,5 x 25,5 cm / 14,0x10,0"</t>
  </si>
  <si>
    <t>CAM-Carbon     38,0 x 33,0 cm / 15,0x13,0"</t>
  </si>
  <si>
    <t>CAM-Carbon     40,5 x 25,5 cm / 16,0x10,0"</t>
  </si>
  <si>
    <t>CAM-Carbon     40,5 x 33,0 cm / 16,0x13,0"</t>
  </si>
  <si>
    <t>CAM-Carbon     43,0 x 23,0 cm / 17,0x 9,0"</t>
  </si>
  <si>
    <t>CAM-Carbon     43,0 x 28,0 cm / 17,0x11,0"</t>
  </si>
  <si>
    <t>CAM-Carbon     43,0 x 33,0 cm / 17,0x13,0"</t>
  </si>
  <si>
    <t>CAM-Carbon     45,5 x 28,0 cm / 18,0x11,0"</t>
  </si>
  <si>
    <t>Classic-Carbon 18,0 x 15,0 cm /  7,0x 6,0"</t>
  </si>
  <si>
    <t>Classic-Carbon 20,0 x 12,5 cm /  8,0x 5,0"</t>
  </si>
  <si>
    <t>Classic-Carbon 23,0 x 12,5 cm /  9,0x 5,0"</t>
  </si>
  <si>
    <t>Classic-Carbon 23,0 x 16,5 cm /  9,0x 6,5"</t>
  </si>
  <si>
    <t>Classic-Carbon 25,5 x 18,0 cm / 10,0x 7,0"</t>
  </si>
  <si>
    <t>Classic-Carbon 26,5 x 15,0 cm / 10,5x 6,0"</t>
  </si>
  <si>
    <t>Classic-Carbon 28,0 x 16,5 cm / 11,0x 6,5"</t>
  </si>
  <si>
    <t>Classic-Carbon 29,5 x 18,0 cm / 11,5x 7,0"</t>
  </si>
  <si>
    <t>Classic-Carbon 30,5 x 18,0 cm / 12,0x 7,0"</t>
  </si>
  <si>
    <t>CAM-Carb.Bl.    30,5 x 20,0 cm / 12,0x 8,0"</t>
  </si>
  <si>
    <t>Classic-Carbon 32,0 x 16,5 cm / 12,5x 6,5"</t>
  </si>
  <si>
    <t>Classic-Carbon 32,0 x 25,5 cm / 12,5x10,0"</t>
  </si>
  <si>
    <t>Classic-Carbon 33,0 x 16,5 cm / 13,0x 6,5"</t>
  </si>
  <si>
    <t>Classic-Carbon 34,0 x 18,0 cm / 13,5x 7,0"</t>
  </si>
  <si>
    <t>Classic-Carbon 36,0 x 18,0 cm / 14,0x 7,0"</t>
  </si>
  <si>
    <t>Classic-Carbon 38,0 x 24,0 cm / 15,0x 9,5"</t>
  </si>
  <si>
    <t>Classic-Carbon 42,0 x 38,0 cm / 16,5x15,0"</t>
  </si>
  <si>
    <t>Classic-Carbon 45,5 x 20,0 cm / 18,0x 8,0"</t>
  </si>
  <si>
    <t>http://www.torcman.de/</t>
  </si>
  <si>
    <t>Uemk</t>
  </si>
  <si>
    <t>ns(Im=0) rpm/V</t>
  </si>
  <si>
    <t>mm2</t>
  </si>
  <si>
    <t>Motor</t>
  </si>
  <si>
    <r>
      <t>Total-</t>
    </r>
    <r>
      <rPr>
        <b/>
        <sz val="10"/>
        <rFont val="Arial"/>
        <family val="2"/>
      </rPr>
      <t>rib</t>
    </r>
  </si>
  <si>
    <t>Controller</t>
  </si>
  <si>
    <t xml:space="preserve"> ric</t>
  </si>
  <si>
    <t>Drahtquerschnitt und Widerstand bei 1-fach- bis 4-fach-Parallelbewicklung</t>
  </si>
  <si>
    <t>CU-Draht-Nenn-Durchmesser
ohne Lack [mm]</t>
  </si>
  <si>
    <t xml:space="preserve">Widerstand
[Milliohm/m]
</t>
  </si>
  <si>
    <t xml:space="preserve">Ax2
[mm2]
</t>
  </si>
  <si>
    <t xml:space="preserve">Ax3
[mm2]
</t>
  </si>
  <si>
    <t xml:space="preserve">Ax4
[mm2]
</t>
  </si>
  <si>
    <t xml:space="preserve"> </t>
  </si>
  <si>
    <t>1.05 - Schulze future</t>
  </si>
  <si>
    <t>1.00 - ACTRONIC,SPEEDY-BL</t>
  </si>
  <si>
    <t>W*L</t>
  </si>
  <si>
    <t xml:space="preserve">Slow Fly Props </t>
  </si>
  <si>
    <t>Typ</t>
  </si>
  <si>
    <t>n10w</t>
  </si>
  <si>
    <t>n20w</t>
  </si>
  <si>
    <t xml:space="preserve">     APC 10x4,7</t>
  </si>
  <si>
    <t xml:space="preserve">     APC 11x4,7</t>
  </si>
  <si>
    <t xml:space="preserve">     GWS 0843</t>
  </si>
  <si>
    <t xml:space="preserve">     GWS 0947</t>
  </si>
  <si>
    <t xml:space="preserve">     GWS 1260</t>
  </si>
  <si>
    <t xml:space="preserve">     GWS 1280 </t>
  </si>
  <si>
    <t>Günther 12,5x11</t>
  </si>
  <si>
    <t xml:space="preserve">Günther 16,7x16 </t>
  </si>
  <si>
    <t>42mm</t>
  </si>
  <si>
    <t>47 mm</t>
  </si>
  <si>
    <t>52 mm</t>
  </si>
  <si>
    <t>http://www.elektromodellflug.de/</t>
  </si>
  <si>
    <t>APC Luftschr.</t>
  </si>
  <si>
    <t>http://www.torcman.de/eco/Antriebsvorschlag.html</t>
  </si>
  <si>
    <t>B</t>
  </si>
  <si>
    <t>C</t>
  </si>
  <si>
    <t>E</t>
  </si>
  <si>
    <t>F</t>
  </si>
  <si>
    <t>G</t>
  </si>
  <si>
    <t>I</t>
  </si>
  <si>
    <t>K</t>
  </si>
  <si>
    <t>M</t>
  </si>
  <si>
    <t>O</t>
  </si>
  <si>
    <t>280-05</t>
  </si>
  <si>
    <t>M2.5</t>
  </si>
  <si>
    <t>40 - 100</t>
  </si>
  <si>
    <t>43g</t>
  </si>
  <si>
    <t>55g</t>
  </si>
  <si>
    <t>280-10</t>
  </si>
  <si>
    <t>75 - 150</t>
  </si>
  <si>
    <t>61g</t>
  </si>
  <si>
    <t>80g</t>
  </si>
  <si>
    <t>280-15</t>
  </si>
  <si>
    <t>100 - 250</t>
  </si>
  <si>
    <t>106g</t>
  </si>
  <si>
    <t>280-20</t>
  </si>
  <si>
    <t>150 - 350</t>
  </si>
  <si>
    <t>99g</t>
  </si>
  <si>
    <t>132g</t>
  </si>
  <si>
    <t>350-12</t>
  </si>
  <si>
    <t>M3</t>
  </si>
  <si>
    <t>120 - 350</t>
  </si>
  <si>
    <t>125g</t>
  </si>
  <si>
    <t>162g</t>
  </si>
  <si>
    <t>350-20</t>
  </si>
  <si>
    <t>250 - 600</t>
  </si>
  <si>
    <t>170g</t>
  </si>
  <si>
    <t>223g</t>
  </si>
  <si>
    <t>350-28</t>
  </si>
  <si>
    <t>400 - 900</t>
  </si>
  <si>
    <t>210g</t>
  </si>
  <si>
    <t>278g</t>
  </si>
  <si>
    <t>430-20</t>
  </si>
  <si>
    <t>M4</t>
  </si>
  <si>
    <t>500 - 1000</t>
  </si>
  <si>
    <t>295g</t>
  </si>
  <si>
    <t>370g</t>
  </si>
  <si>
    <t>430-30</t>
  </si>
  <si>
    <t>700 - 1500</t>
  </si>
  <si>
    <t>390g</t>
  </si>
  <si>
    <t>500g</t>
  </si>
  <si>
    <r>
      <t>A</t>
    </r>
    <r>
      <rPr>
        <b/>
        <vertAlign val="superscript"/>
        <sz val="12"/>
        <rFont val="Times New Roman"/>
        <family val="1"/>
      </rPr>
      <t>(*)</t>
    </r>
  </si>
  <si>
    <r>
      <t>P</t>
    </r>
    <r>
      <rPr>
        <b/>
        <vertAlign val="superscript"/>
        <sz val="12"/>
        <rFont val="Times New Roman"/>
        <family val="1"/>
      </rPr>
      <t>(*)</t>
    </r>
  </si>
  <si>
    <r>
      <t>Cu-Querschnitt
 A  [mm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]
</t>
    </r>
  </si>
  <si>
    <t>Recursive Design and Calculation Program for all Torcman Motors</t>
  </si>
  <si>
    <t>Overview :</t>
  </si>
  <si>
    <t>Sheet 2:  Overview All Motors, Dimensions and Power</t>
  </si>
  <si>
    <t>Sheet 5: Torcman 350 10pole</t>
  </si>
  <si>
    <t>Sheet 6: Torcman 350 14pole</t>
  </si>
  <si>
    <t>Sheet 7: Torcman 430 10pole</t>
  </si>
  <si>
    <t>Sheet 8: Torcman 430 14pole</t>
  </si>
  <si>
    <t>Sheet 3: Torcman 280 10pole</t>
  </si>
  <si>
    <t>Sheet 4: Torcman 280 14pole</t>
  </si>
  <si>
    <t>Excel Basic Settings and Tips :</t>
  </si>
  <si>
    <t>Sheet 9: n100w-Table for all Aeronaut and APC Propellers</t>
  </si>
  <si>
    <t>Sheet 10: n100w-Table for SlowFly Propellers</t>
  </si>
  <si>
    <t>Calculation of number of turns, wire size and other motor parameters:</t>
  </si>
  <si>
    <t>Proceeding :</t>
  </si>
  <si>
    <t>1. Selection of the motor size and number of poles (10 or 14 polarizes) in dependence of the required power and application:</t>
  </si>
  <si>
    <t>see</t>
  </si>
  <si>
    <t>and/or</t>
  </si>
  <si>
    <t>3. Go to the sheet with the selected motor size and number of poles</t>
  </si>
  <si>
    <t>4. Enter Number of Battery Cells Field B8</t>
  </si>
  <si>
    <r>
      <t xml:space="preserve">To read the comments move the pointer of the mouse to the </t>
    </r>
    <r>
      <rPr>
        <sz val="10"/>
        <color indexed="10"/>
        <rFont val="Arial"/>
        <family val="2"/>
      </rPr>
      <t>red corners</t>
    </r>
    <r>
      <rPr>
        <sz val="10"/>
        <rFont val="Arial"/>
        <family val="2"/>
      </rPr>
      <t xml:space="preserve"> on the upper right edge of the fields ! </t>
    </r>
  </si>
  <si>
    <t xml:space="preserve">Sheet 1:  User Guide </t>
  </si>
  <si>
    <t>6.  Check or correct values for cable length or cross section - Fields E8 / F8</t>
  </si>
  <si>
    <t>8. Enter Stator Length -  Field B19</t>
  </si>
  <si>
    <t>7. Enter characteristic number of the used Conrollers - Field B13</t>
  </si>
  <si>
    <t>9. Enter desired Input Power Pin [Watt] - Field E19</t>
  </si>
  <si>
    <t>10. Enter Propeller-Value n100w from Propeller Table - Field G19</t>
  </si>
  <si>
    <t xml:space="preserve">11. Finish all Inputs with &lt;Return&gt; or &lt;Enter&gt; </t>
  </si>
  <si>
    <t>13. Read the number of turns -  Field C29 and the wire diameter -  Field C33</t>
  </si>
  <si>
    <t>14. Switch to parallel winding if wire diameter is too high - Field C32, Enter number of parallel wires - Field C32 - and recalculate (F9)</t>
  </si>
  <si>
    <t>Miscellaneous :</t>
  </si>
  <si>
    <t xml:space="preserve">In most cases higher efficiency is achieved with the delta connection of the coils, 
for Slow Fly applications it sometimes makes sense to use Y-connection to reduce the numer of turns </t>
  </si>
  <si>
    <t xml:space="preserve">If errors occur in the output fields (#NUM!) which don't disappear by multiple hitting F9, in most cases the value in Field Rib_cell is too high </t>
  </si>
  <si>
    <t>It is recommended to restart the program, but don't save when exiting !!!</t>
  </si>
  <si>
    <t>Torcman 280/350/430 Dimensions and Power Range</t>
  </si>
  <si>
    <t>Power -
Range  [Watt]</t>
  </si>
  <si>
    <t>Weight 
without
Winding</t>
  </si>
  <si>
    <t>Weight including nominal Winding</t>
  </si>
  <si>
    <r>
      <t>A</t>
    </r>
    <r>
      <rPr>
        <vertAlign val="superscript"/>
        <sz val="12"/>
        <rFont val="Times New Roman"/>
        <family val="1"/>
      </rPr>
      <t>(*)</t>
    </r>
    <r>
      <rPr>
        <sz val="12"/>
        <rFont val="Times New Roman"/>
        <family val="1"/>
      </rPr>
      <t xml:space="preserve"> = Length of shaft can vary or be modified</t>
    </r>
  </si>
  <si>
    <r>
      <t>P</t>
    </r>
    <r>
      <rPr>
        <vertAlign val="superscript"/>
        <sz val="12"/>
        <rFont val="Times New Roman"/>
        <family val="1"/>
      </rPr>
      <t>(*)</t>
    </r>
    <r>
      <rPr>
        <sz val="12"/>
        <rFont val="Times New Roman"/>
        <family val="1"/>
      </rPr>
      <t xml:space="preserve"> = max. Immersion depth of mounting screws</t>
    </r>
  </si>
  <si>
    <t>All data without warranty - dimensions may be subject to change</t>
  </si>
  <si>
    <t>Please look for the most actual Version at :</t>
  </si>
  <si>
    <t>Tools &gt; Options &gt; Calculation &gt; Iteration &gt; Checked (on)</t>
  </si>
  <si>
    <t>Sheet 2:  Overview for Dimensions and Power of all Motors</t>
  </si>
  <si>
    <t>2. Select the desired propeller (n100w-value) from Sheet 9 or 10, TM280 Dia 7 to 13 Inch, TM350 Dia 12 to 17 Inch, TM430 Dia 14 to 20 Inch</t>
  </si>
  <si>
    <t>5. Check or correct Field Rib_cell (Impedance) of the used battery cell - Field D8 (see comments)</t>
  </si>
  <si>
    <t>12. Hit Softkey F9 so many times, until all values of the table are stable</t>
  </si>
  <si>
    <t>15. If desired, change number of cells, power or propeller value until the final results are achieved and recalculate the winding parameters (F9)</t>
  </si>
  <si>
    <t>Battery Type / Cable</t>
  </si>
  <si>
    <t># of Cells</t>
  </si>
  <si>
    <t>Cell</t>
  </si>
  <si>
    <t>Voltage</t>
  </si>
  <si>
    <t>rib_cell</t>
  </si>
  <si>
    <t>Battery Cable</t>
  </si>
  <si>
    <t>Cross Section</t>
  </si>
  <si>
    <t>meter</t>
  </si>
  <si>
    <t>Fill out the required yellow fields and hit F9 as many times until all values are stable</t>
  </si>
  <si>
    <t>F9 only works, if input values have been confirmed with &lt;RETURN&gt;</t>
  </si>
  <si>
    <r>
      <t xml:space="preserve">Torcman 350-xx-xx </t>
    </r>
    <r>
      <rPr>
        <b/>
        <sz val="16"/>
        <color indexed="10"/>
        <rFont val="Arial"/>
        <family val="2"/>
      </rPr>
      <t>10pole</t>
    </r>
  </si>
  <si>
    <r>
      <t xml:space="preserve">Torcman 350-xx-xx </t>
    </r>
    <r>
      <rPr>
        <b/>
        <sz val="16"/>
        <color indexed="10"/>
        <rFont val="Arial"/>
        <family val="2"/>
      </rPr>
      <t>14pole</t>
    </r>
  </si>
  <si>
    <r>
      <t xml:space="preserve">Torcman 430-xx-xx </t>
    </r>
    <r>
      <rPr>
        <b/>
        <sz val="16"/>
        <color indexed="10"/>
        <rFont val="Arial"/>
        <family val="2"/>
      </rPr>
      <t>10pole</t>
    </r>
  </si>
  <si>
    <r>
      <t xml:space="preserve">Torcman 430-xx-xx </t>
    </r>
    <r>
      <rPr>
        <b/>
        <sz val="16"/>
        <color indexed="10"/>
        <rFont val="Arial"/>
        <family val="2"/>
      </rPr>
      <t>14pole</t>
    </r>
  </si>
  <si>
    <r>
      <t xml:space="preserve">Torcman 280-xx-xx </t>
    </r>
    <r>
      <rPr>
        <b/>
        <sz val="16"/>
        <color indexed="10"/>
        <rFont val="Arial"/>
        <family val="2"/>
      </rPr>
      <t>14pole</t>
    </r>
  </si>
  <si>
    <r>
      <t xml:space="preserve">Torcman 280-xx-xx </t>
    </r>
    <r>
      <rPr>
        <b/>
        <sz val="16"/>
        <color indexed="10"/>
        <rFont val="Arial"/>
        <family val="2"/>
      </rPr>
      <t>10pole</t>
    </r>
  </si>
  <si>
    <t>Controller-Value</t>
  </si>
  <si>
    <t>1.10 - Jeti / Hacker Master</t>
  </si>
  <si>
    <t>Statorlength</t>
  </si>
  <si>
    <t>TM280-</t>
  </si>
  <si>
    <t>at Load</t>
  </si>
  <si>
    <t>Current</t>
  </si>
  <si>
    <t>Pin</t>
  </si>
  <si>
    <t>Rot. Speed</t>
  </si>
  <si>
    <t>Desired</t>
  </si>
  <si>
    <t>Propeller</t>
  </si>
  <si>
    <t>Delta</t>
  </si>
  <si>
    <t>Wiring  Connection</t>
  </si>
  <si>
    <t>Star</t>
  </si>
  <si>
    <t>Parameter W*L</t>
  </si>
  <si>
    <t>Parameter W</t>
  </si>
  <si>
    <t>Rotary Speed rpm/V</t>
  </si>
  <si>
    <t>Rigidness rpm/V/A</t>
  </si>
  <si>
    <t>Turns per Tooth</t>
  </si>
  <si>
    <t># of parallel wires</t>
  </si>
  <si>
    <t>Wire diameter mm</t>
  </si>
  <si>
    <t>Wire Length/Tooth m</t>
  </si>
  <si>
    <t>Motor-ri W</t>
  </si>
  <si>
    <r>
      <t>Slot effect. Area mm</t>
    </r>
    <r>
      <rPr>
        <vertAlign val="superscript"/>
        <sz val="9"/>
        <rFont val="Arial"/>
        <family val="2"/>
      </rPr>
      <t>2</t>
    </r>
  </si>
  <si>
    <r>
      <t>Wire Cross Sect. mm</t>
    </r>
    <r>
      <rPr>
        <vertAlign val="superscript"/>
        <sz val="9"/>
        <rFont val="Arial"/>
        <family val="2"/>
      </rPr>
      <t>2</t>
    </r>
  </si>
  <si>
    <t>Coil Resistance  W</t>
  </si>
  <si>
    <t>Motor ri  W</t>
  </si>
  <si>
    <r>
      <t>Current Density A/mm</t>
    </r>
    <r>
      <rPr>
        <vertAlign val="superscript"/>
        <sz val="9"/>
        <rFont val="Arial"/>
        <family val="2"/>
      </rPr>
      <t>2</t>
    </r>
  </si>
  <si>
    <t>Aeronaut Folding Prop Comparison Table</t>
  </si>
  <si>
    <t>Aeronaut Description</t>
  </si>
  <si>
    <t>Diameter</t>
  </si>
  <si>
    <t>Pitch</t>
  </si>
  <si>
    <t>n100-Value (=rpm at 100W) with center part</t>
  </si>
  <si>
    <t>APC Propeller  n100 Values</t>
  </si>
  <si>
    <t>n100-Value (=rpm at 100W)</t>
  </si>
  <si>
    <t>nxxx-Values</t>
  </si>
  <si>
    <t>Version: 3.01  June 2003   Author :  Peter Rother / Jochen Zaiser</t>
  </si>
  <si>
    <t>TM350-</t>
  </si>
  <si>
    <t>TM430-</t>
  </si>
  <si>
    <t>CAM-Carbon     38,0 x 20,0 cm / 15,0x 8,0"</t>
  </si>
  <si>
    <t>CAM-Carbon     38,0 x 25,5 cm / 15,0x 10,0"</t>
  </si>
  <si>
    <t>Mejzlik Carbon 16x8</t>
  </si>
  <si>
    <t>Mejzlik Carbon 19x8</t>
  </si>
  <si>
    <t>Mejzlik Carbon 22x8</t>
  </si>
  <si>
    <t>Graupner Carbon Prop  16x6</t>
  </si>
  <si>
    <t xml:space="preserve"> mm قطر السلك </t>
  </si>
  <si>
    <r>
      <t xml:space="preserve">  المقطع العرضي للسلك mm</t>
    </r>
    <r>
      <rPr>
        <vertAlign val="superscript"/>
        <sz val="9"/>
        <rFont val="Arial"/>
        <family val="2"/>
      </rPr>
      <t xml:space="preserve">2 </t>
    </r>
  </si>
  <si>
    <t>عدد اللفات لكل سن</t>
  </si>
  <si>
    <t>سرعة الدوران لكل فولط rpm/V</t>
  </si>
  <si>
    <t>الفولت الناتج من الحقل المغناطيسي</t>
  </si>
  <si>
    <r>
      <t>مساحة المكان الملفوف عليه السلك mm</t>
    </r>
    <r>
      <rPr>
        <vertAlign val="superscript"/>
        <sz val="9"/>
        <rFont val="Arial"/>
        <family val="2"/>
      </rPr>
      <t>2</t>
    </r>
  </si>
  <si>
    <t>عدد اللأسلاك المستخدمه في اللف لكل مرحله</t>
  </si>
  <si>
    <t>طول السلك/مساحة السن m</t>
  </si>
  <si>
    <t>المقاومه بين توصيلات المحرك  W</t>
  </si>
  <si>
    <r>
      <t>مدى تحمل السلك للجهد المعطى A/mm</t>
    </r>
    <r>
      <rPr>
        <vertAlign val="superscript"/>
        <sz val="9"/>
        <rFont val="Arial"/>
        <family val="2"/>
      </rPr>
      <t>2</t>
    </r>
  </si>
  <si>
    <t>المقاومه بين التوصيلات W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</si>
</sst>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0_)"/>
    <numFmt numFmtId="187" formatCode="0.0_)"/>
    <numFmt numFmtId="188" formatCode="0.000_)"/>
    <numFmt numFmtId="189" formatCode="0.00_)"/>
    <numFmt numFmtId="190" formatCode="0.00000"/>
    <numFmt numFmtId="191" formatCode="0.0000"/>
    <numFmt numFmtId="192" formatCode="0.000"/>
    <numFmt numFmtId="193" formatCode="0.0"/>
    <numFmt numFmtId="194" formatCode="0.0%"/>
    <numFmt numFmtId="195" formatCode="0.000000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&quot;Yes&quot;;&quot;Yes&quot;;&quot;No&quot;"/>
    <numFmt numFmtId="200" formatCode="&quot;True&quot;;&quot;True&quot;;&quot;False&quot;"/>
    <numFmt numFmtId="201" formatCode="&quot;On&quot;;&quot;On&quot;;&quot;Off&quot;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Courier"/>
      <family val="3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Courier"/>
      <family val="3"/>
    </font>
    <font>
      <sz val="10"/>
      <name val="Symbol"/>
      <family val="1"/>
    </font>
    <font>
      <b/>
      <sz val="8"/>
      <name val="Tahoma"/>
      <family val="0"/>
    </font>
    <font>
      <b/>
      <sz val="8"/>
      <name val="Symbol"/>
      <family val="1"/>
    </font>
    <font>
      <b/>
      <sz val="14"/>
      <name val="Arial"/>
      <family val="2"/>
    </font>
    <font>
      <sz val="16"/>
      <name val="Arial"/>
      <family val="2"/>
    </font>
    <font>
      <vertAlign val="superscript"/>
      <sz val="10"/>
      <name val="Arial"/>
      <family val="2"/>
    </font>
    <font>
      <sz val="8"/>
      <name val="Tahoma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16"/>
      <color indexed="10"/>
      <name val="Arial"/>
      <family val="2"/>
    </font>
    <font>
      <b/>
      <sz val="8"/>
      <color indexed="10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b/>
      <sz val="19"/>
      <name val="Arial"/>
      <family val="2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Arial"/>
      <family val="2"/>
    </font>
    <font>
      <u val="single"/>
      <sz val="12"/>
      <color indexed="12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 diagonalDown="1">
      <left style="medium"/>
      <right style="medium"/>
      <top style="medium"/>
      <bottom style="medium"/>
      <diagonal style="thin">
        <color indexed="8"/>
      </diagonal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0" borderId="1" xfId="0" applyFont="1" applyBorder="1" applyAlignment="1" applyProtection="1">
      <alignment horizontal="right"/>
      <protection/>
    </xf>
    <xf numFmtId="2" fontId="0" fillId="0" borderId="1" xfId="0" applyNumberFormat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192" fontId="0" fillId="0" borderId="1" xfId="0" applyNumberFormat="1" applyBorder="1" applyAlignment="1" applyProtection="1">
      <alignment/>
      <protection/>
    </xf>
    <xf numFmtId="2" fontId="2" fillId="0" borderId="1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/>
    </xf>
    <xf numFmtId="192" fontId="2" fillId="0" borderId="1" xfId="0" applyNumberFormat="1" applyFont="1" applyBorder="1" applyAlignment="1" applyProtection="1">
      <alignment/>
      <protection/>
    </xf>
    <xf numFmtId="186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2" xfId="0" applyFont="1" applyBorder="1" applyAlignment="1">
      <alignment/>
    </xf>
    <xf numFmtId="193" fontId="4" fillId="0" borderId="0" xfId="0" applyNumberFormat="1" applyFont="1" applyAlignment="1">
      <alignment/>
    </xf>
    <xf numFmtId="193" fontId="4" fillId="0" borderId="3" xfId="0" applyNumberFormat="1" applyFont="1" applyBorder="1" applyAlignment="1">
      <alignment horizontal="center"/>
    </xf>
    <xf numFmtId="193" fontId="4" fillId="0" borderId="4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187" fontId="0" fillId="0" borderId="0" xfId="0" applyNumberFormat="1" applyBorder="1" applyAlignment="1" applyProtection="1">
      <alignment/>
      <protection/>
    </xf>
    <xf numFmtId="186" fontId="0" fillId="0" borderId="0" xfId="0" applyNumberFormat="1" applyBorder="1" applyAlignment="1" applyProtection="1">
      <alignment horizontal="left"/>
      <protection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3" fillId="0" borderId="0" xfId="0" applyFont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2" xfId="0" applyBorder="1" applyAlignment="1">
      <alignment/>
    </xf>
    <xf numFmtId="0" fontId="0" fillId="0" borderId="11" xfId="0" applyBorder="1" applyAlignment="1">
      <alignment/>
    </xf>
    <xf numFmtId="2" fontId="0" fillId="0" borderId="10" xfId="0" applyNumberFormat="1" applyBorder="1" applyAlignment="1">
      <alignment/>
    </xf>
    <xf numFmtId="192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3" borderId="11" xfId="0" applyNumberFormat="1" applyFill="1" applyBorder="1" applyAlignment="1">
      <alignment/>
    </xf>
    <xf numFmtId="2" fontId="0" fillId="4" borderId="2" xfId="0" applyNumberFormat="1" applyFill="1" applyBorder="1" applyAlignment="1">
      <alignment/>
    </xf>
    <xf numFmtId="2" fontId="0" fillId="4" borderId="11" xfId="0" applyNumberFormat="1" applyFill="1" applyBorder="1" applyAlignment="1">
      <alignment/>
    </xf>
    <xf numFmtId="192" fontId="0" fillId="5" borderId="2" xfId="0" applyNumberFormat="1" applyFill="1" applyBorder="1" applyAlignment="1">
      <alignment/>
    </xf>
    <xf numFmtId="2" fontId="0" fillId="5" borderId="2" xfId="0" applyNumberFormat="1" applyFill="1" applyBorder="1" applyAlignment="1">
      <alignment/>
    </xf>
    <xf numFmtId="2" fontId="0" fillId="6" borderId="2" xfId="0" applyNumberFormat="1" applyFill="1" applyBorder="1" applyAlignment="1">
      <alignment/>
    </xf>
    <xf numFmtId="2" fontId="0" fillId="6" borderId="11" xfId="0" applyNumberFormat="1" applyFill="1" applyBorder="1" applyAlignment="1">
      <alignment/>
    </xf>
    <xf numFmtId="192" fontId="0" fillId="4" borderId="2" xfId="0" applyNumberFormat="1" applyFill="1" applyBorder="1" applyAlignment="1">
      <alignment/>
    </xf>
    <xf numFmtId="2" fontId="0" fillId="2" borderId="2" xfId="0" applyNumberFormat="1" applyFill="1" applyBorder="1" applyAlignment="1">
      <alignment/>
    </xf>
    <xf numFmtId="2" fontId="0" fillId="2" borderId="11" xfId="0" applyNumberFormat="1" applyFill="1" applyBorder="1" applyAlignment="1">
      <alignment/>
    </xf>
    <xf numFmtId="192" fontId="0" fillId="6" borderId="2" xfId="0" applyNumberFormat="1" applyFill="1" applyBorder="1" applyAlignment="1">
      <alignment/>
    </xf>
    <xf numFmtId="2" fontId="0" fillId="7" borderId="2" xfId="0" applyNumberFormat="1" applyFill="1" applyBorder="1" applyAlignment="1">
      <alignment/>
    </xf>
    <xf numFmtId="2" fontId="0" fillId="7" borderId="11" xfId="0" applyNumberFormat="1" applyFill="1" applyBorder="1" applyAlignment="1">
      <alignment/>
    </xf>
    <xf numFmtId="192" fontId="0" fillId="2" borderId="2" xfId="0" applyNumberFormat="1" applyFill="1" applyBorder="1" applyAlignment="1">
      <alignment/>
    </xf>
    <xf numFmtId="192" fontId="0" fillId="7" borderId="2" xfId="0" applyNumberFormat="1" applyFill="1" applyBorder="1" applyAlignment="1">
      <alignment/>
    </xf>
    <xf numFmtId="2" fontId="0" fillId="0" borderId="12" xfId="0" applyNumberFormat="1" applyBorder="1" applyAlignment="1">
      <alignment/>
    </xf>
    <xf numFmtId="192" fontId="0" fillId="0" borderId="13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Border="1" applyAlignment="1">
      <alignment/>
    </xf>
    <xf numFmtId="0" fontId="6" fillId="0" borderId="11" xfId="0" applyFont="1" applyBorder="1" applyAlignment="1">
      <alignment/>
    </xf>
    <xf numFmtId="1" fontId="4" fillId="0" borderId="15" xfId="0" applyNumberFormat="1" applyFont="1" applyBorder="1" applyAlignment="1">
      <alignment/>
    </xf>
    <xf numFmtId="1" fontId="4" fillId="0" borderId="16" xfId="0" applyNumberFormat="1" applyFont="1" applyBorder="1" applyAlignment="1">
      <alignment/>
    </xf>
    <xf numFmtId="193" fontId="4" fillId="0" borderId="17" xfId="0" applyNumberFormat="1" applyFont="1" applyBorder="1" applyAlignment="1">
      <alignment horizontal="center"/>
    </xf>
    <xf numFmtId="193" fontId="4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22" xfId="0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 horizontal="center"/>
    </xf>
    <xf numFmtId="186" fontId="0" fillId="0" borderId="24" xfId="0" applyNumberFormat="1" applyBorder="1" applyAlignment="1" applyProtection="1">
      <alignment horizontal="center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right"/>
      <protection/>
    </xf>
    <xf numFmtId="0" fontId="0" fillId="8" borderId="13" xfId="0" applyFont="1" applyFill="1" applyBorder="1" applyAlignment="1" applyProtection="1">
      <alignment horizontal="left"/>
      <protection/>
    </xf>
    <xf numFmtId="192" fontId="0" fillId="8" borderId="13" xfId="0" applyNumberFormat="1" applyFont="1" applyFill="1" applyBorder="1" applyAlignment="1" applyProtection="1">
      <alignment horizontal="center"/>
      <protection/>
    </xf>
    <xf numFmtId="2" fontId="0" fillId="0" borderId="13" xfId="0" applyNumberFormat="1" applyFont="1" applyBorder="1" applyAlignment="1" applyProtection="1">
      <alignment horizontal="center"/>
      <protection/>
    </xf>
    <xf numFmtId="0" fontId="0" fillId="8" borderId="13" xfId="0" applyFont="1" applyFill="1" applyBorder="1" applyAlignment="1" applyProtection="1">
      <alignment horizontal="center"/>
      <protection/>
    </xf>
    <xf numFmtId="186" fontId="0" fillId="0" borderId="13" xfId="0" applyNumberFormat="1" applyFont="1" applyBorder="1" applyAlignment="1" applyProtection="1">
      <alignment horizontal="center"/>
      <protection/>
    </xf>
    <xf numFmtId="186" fontId="0" fillId="8" borderId="14" xfId="0" applyNumberFormat="1" applyFont="1" applyFill="1" applyBorder="1" applyAlignment="1" applyProtection="1">
      <alignment horizontal="center"/>
      <protection/>
    </xf>
    <xf numFmtId="0" fontId="1" fillId="0" borderId="23" xfId="0" applyFont="1" applyBorder="1" applyAlignment="1">
      <alignment horizontal="left"/>
    </xf>
    <xf numFmtId="0" fontId="0" fillId="0" borderId="24" xfId="0" applyBorder="1" applyAlignment="1">
      <alignment/>
    </xf>
    <xf numFmtId="0" fontId="9" fillId="0" borderId="26" xfId="0" applyFont="1" applyBorder="1" applyAlignment="1">
      <alignment/>
    </xf>
    <xf numFmtId="0" fontId="10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0" fillId="8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0" fillId="8" borderId="14" xfId="0" applyFill="1" applyBorder="1" applyAlignment="1">
      <alignment horizontal="center"/>
    </xf>
    <xf numFmtId="2" fontId="0" fillId="0" borderId="27" xfId="0" applyNumberFormat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192" fontId="0" fillId="0" borderId="27" xfId="0" applyNumberFormat="1" applyBorder="1" applyAlignment="1" applyProtection="1">
      <alignment/>
      <protection/>
    </xf>
    <xf numFmtId="2" fontId="2" fillId="0" borderId="27" xfId="0" applyNumberFormat="1" applyFont="1" applyFill="1" applyBorder="1" applyAlignment="1" applyProtection="1">
      <alignment/>
      <protection/>
    </xf>
    <xf numFmtId="192" fontId="2" fillId="0" borderId="27" xfId="0" applyNumberFormat="1" applyFont="1" applyBorder="1" applyAlignment="1" applyProtection="1">
      <alignment/>
      <protection/>
    </xf>
    <xf numFmtId="0" fontId="2" fillId="0" borderId="29" xfId="0" applyFont="1" applyBorder="1" applyAlignment="1" applyProtection="1">
      <alignment horizontal="right"/>
      <protection/>
    </xf>
    <xf numFmtId="192" fontId="0" fillId="0" borderId="29" xfId="0" applyNumberFormat="1" applyBorder="1" applyAlignment="1" applyProtection="1">
      <alignment/>
      <protection/>
    </xf>
    <xf numFmtId="192" fontId="0" fillId="0" borderId="30" xfId="0" applyNumberFormat="1" applyBorder="1" applyAlignment="1" applyProtection="1">
      <alignment/>
      <protection/>
    </xf>
    <xf numFmtId="0" fontId="4" fillId="0" borderId="2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31" xfId="20" applyBorder="1" applyAlignment="1">
      <alignment/>
    </xf>
    <xf numFmtId="0" fontId="3" fillId="0" borderId="21" xfId="20" applyBorder="1" applyAlignment="1">
      <alignment/>
    </xf>
    <xf numFmtId="0" fontId="1" fillId="0" borderId="22" xfId="0" applyFont="1" applyBorder="1" applyAlignment="1">
      <alignment/>
    </xf>
    <xf numFmtId="0" fontId="1" fillId="0" borderId="32" xfId="0" applyFont="1" applyBorder="1" applyAlignment="1">
      <alignment horizontal="center"/>
    </xf>
    <xf numFmtId="2" fontId="0" fillId="0" borderId="9" xfId="0" applyNumberFormat="1" applyBorder="1" applyAlignment="1" applyProtection="1">
      <alignment/>
      <protection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1" xfId="0" applyFont="1" applyBorder="1" applyAlignment="1" applyProtection="1">
      <alignment horizontal="right"/>
      <protection/>
    </xf>
    <xf numFmtId="1" fontId="0" fillId="0" borderId="1" xfId="0" applyNumberFormat="1" applyBorder="1" applyAlignment="1" applyProtection="1">
      <alignment/>
      <protection/>
    </xf>
    <xf numFmtId="2" fontId="0" fillId="8" borderId="34" xfId="0" applyNumberFormat="1" applyFill="1" applyBorder="1" applyAlignment="1">
      <alignment horizontal="center"/>
    </xf>
    <xf numFmtId="0" fontId="1" fillId="0" borderId="0" xfId="0" applyFont="1" applyAlignment="1">
      <alignment/>
    </xf>
    <xf numFmtId="2" fontId="0" fillId="2" borderId="2" xfId="0" applyNumberForma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87" fontId="0" fillId="0" borderId="0" xfId="0" applyNumberFormat="1" applyFill="1" applyBorder="1" applyAlignment="1" applyProtection="1">
      <alignment horizontal="center"/>
      <protection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/>
      <protection locked="0"/>
    </xf>
    <xf numFmtId="0" fontId="5" fillId="0" borderId="32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6" fillId="0" borderId="36" xfId="0" applyNumberFormat="1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1" fontId="6" fillId="0" borderId="37" xfId="0" applyNumberFormat="1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32" xfId="0" applyFont="1" applyBorder="1" applyAlignment="1" applyProtection="1">
      <alignment horizontal="right"/>
      <protection locked="0"/>
    </xf>
    <xf numFmtId="0" fontId="5" fillId="0" borderId="32" xfId="0" applyFont="1" applyBorder="1" applyAlignment="1">
      <alignment horizontal="right"/>
    </xf>
    <xf numFmtId="0" fontId="5" fillId="0" borderId="35" xfId="0" applyFont="1" applyBorder="1" applyAlignment="1">
      <alignment horizontal="right"/>
    </xf>
    <xf numFmtId="1" fontId="4" fillId="8" borderId="16" xfId="0" applyNumberFormat="1" applyFont="1" applyFill="1" applyBorder="1" applyAlignment="1">
      <alignment/>
    </xf>
    <xf numFmtId="1" fontId="4" fillId="7" borderId="16" xfId="0" applyNumberFormat="1" applyFont="1" applyFill="1" applyBorder="1" applyAlignment="1">
      <alignment/>
    </xf>
    <xf numFmtId="1" fontId="4" fillId="9" borderId="16" xfId="0" applyNumberFormat="1" applyFont="1" applyFill="1" applyBorder="1" applyAlignment="1">
      <alignment/>
    </xf>
    <xf numFmtId="1" fontId="4" fillId="10" borderId="16" xfId="0" applyNumberFormat="1" applyFont="1" applyFill="1" applyBorder="1" applyAlignment="1">
      <alignment/>
    </xf>
    <xf numFmtId="1" fontId="4" fillId="11" borderId="16" xfId="0" applyNumberFormat="1" applyFont="1" applyFill="1" applyBorder="1" applyAlignment="1">
      <alignment/>
    </xf>
    <xf numFmtId="1" fontId="5" fillId="7" borderId="18" xfId="0" applyNumberFormat="1" applyFont="1" applyFill="1" applyBorder="1" applyAlignment="1">
      <alignment horizontal="center"/>
    </xf>
    <xf numFmtId="1" fontId="5" fillId="9" borderId="4" xfId="0" applyNumberFormat="1" applyFont="1" applyFill="1" applyBorder="1" applyAlignment="1">
      <alignment horizontal="center"/>
    </xf>
    <xf numFmtId="1" fontId="5" fillId="10" borderId="4" xfId="0" applyNumberFormat="1" applyFont="1" applyFill="1" applyBorder="1" applyAlignment="1">
      <alignment horizontal="center"/>
    </xf>
    <xf numFmtId="1" fontId="5" fillId="8" borderId="4" xfId="0" applyNumberFormat="1" applyFont="1" applyFill="1" applyBorder="1" applyAlignment="1">
      <alignment horizontal="center"/>
    </xf>
    <xf numFmtId="1" fontId="5" fillId="11" borderId="4" xfId="0" applyNumberFormat="1" applyFont="1" applyFill="1" applyBorder="1" applyAlignment="1">
      <alignment horizontal="center"/>
    </xf>
    <xf numFmtId="1" fontId="5" fillId="7" borderId="39" xfId="0" applyNumberFormat="1" applyFont="1" applyFill="1" applyBorder="1" applyAlignment="1">
      <alignment horizontal="center"/>
    </xf>
    <xf numFmtId="1" fontId="5" fillId="9" borderId="10" xfId="0" applyNumberFormat="1" applyFont="1" applyFill="1" applyBorder="1" applyAlignment="1">
      <alignment horizontal="center"/>
    </xf>
    <xf numFmtId="1" fontId="5" fillId="10" borderId="10" xfId="0" applyNumberFormat="1" applyFont="1" applyFill="1" applyBorder="1" applyAlignment="1">
      <alignment horizontal="center"/>
    </xf>
    <xf numFmtId="1" fontId="5" fillId="8" borderId="10" xfId="0" applyNumberFormat="1" applyFont="1" applyFill="1" applyBorder="1" applyAlignment="1">
      <alignment horizontal="center"/>
    </xf>
    <xf numFmtId="1" fontId="5" fillId="11" borderId="10" xfId="0" applyNumberFormat="1" applyFont="1" applyFill="1" applyBorder="1" applyAlignment="1">
      <alignment horizontal="center"/>
    </xf>
    <xf numFmtId="0" fontId="22" fillId="7" borderId="40" xfId="0" applyFont="1" applyFill="1" applyBorder="1" applyAlignment="1">
      <alignment horizontal="center"/>
    </xf>
    <xf numFmtId="0" fontId="22" fillId="9" borderId="10" xfId="0" applyFont="1" applyFill="1" applyBorder="1" applyAlignment="1">
      <alignment horizontal="center"/>
    </xf>
    <xf numFmtId="0" fontId="22" fillId="10" borderId="10" xfId="0" applyFont="1" applyFill="1" applyBorder="1" applyAlignment="1">
      <alignment horizontal="center"/>
    </xf>
    <xf numFmtId="0" fontId="22" fillId="8" borderId="10" xfId="0" applyFont="1" applyFill="1" applyBorder="1" applyAlignment="1">
      <alignment horizontal="center"/>
    </xf>
    <xf numFmtId="0" fontId="22" fillId="11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4" fillId="0" borderId="16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" fontId="4" fillId="9" borderId="15" xfId="0" applyNumberFormat="1" applyFont="1" applyFill="1" applyBorder="1" applyAlignment="1">
      <alignment/>
    </xf>
    <xf numFmtId="0" fontId="22" fillId="9" borderId="2" xfId="0" applyFont="1" applyFill="1" applyBorder="1" applyAlignment="1">
      <alignment horizontal="center"/>
    </xf>
    <xf numFmtId="0" fontId="22" fillId="9" borderId="11" xfId="0" applyFont="1" applyFill="1" applyBorder="1" applyAlignment="1">
      <alignment horizontal="center"/>
    </xf>
    <xf numFmtId="1" fontId="4" fillId="10" borderId="15" xfId="0" applyNumberFormat="1" applyFont="1" applyFill="1" applyBorder="1" applyAlignment="1">
      <alignment/>
    </xf>
    <xf numFmtId="0" fontId="22" fillId="10" borderId="2" xfId="0" applyFont="1" applyFill="1" applyBorder="1" applyAlignment="1">
      <alignment horizontal="center"/>
    </xf>
    <xf numFmtId="0" fontId="22" fillId="10" borderId="11" xfId="0" applyFont="1" applyFill="1" applyBorder="1" applyAlignment="1">
      <alignment horizontal="center"/>
    </xf>
    <xf numFmtId="1" fontId="4" fillId="8" borderId="15" xfId="0" applyNumberFormat="1" applyFont="1" applyFill="1" applyBorder="1" applyAlignment="1">
      <alignment/>
    </xf>
    <xf numFmtId="0" fontId="22" fillId="8" borderId="2" xfId="0" applyFont="1" applyFill="1" applyBorder="1" applyAlignment="1">
      <alignment horizontal="center"/>
    </xf>
    <xf numFmtId="0" fontId="22" fillId="8" borderId="11" xfId="0" applyFont="1" applyFill="1" applyBorder="1" applyAlignment="1">
      <alignment horizontal="center"/>
    </xf>
    <xf numFmtId="1" fontId="4" fillId="11" borderId="15" xfId="0" applyNumberFormat="1" applyFont="1" applyFill="1" applyBorder="1" applyAlignment="1">
      <alignment/>
    </xf>
    <xf numFmtId="0" fontId="22" fillId="11" borderId="2" xfId="0" applyFont="1" applyFill="1" applyBorder="1" applyAlignment="1">
      <alignment horizontal="center"/>
    </xf>
    <xf numFmtId="0" fontId="22" fillId="11" borderId="11" xfId="0" applyFont="1" applyFill="1" applyBorder="1" applyAlignment="1">
      <alignment horizontal="center"/>
    </xf>
    <xf numFmtId="1" fontId="4" fillId="8" borderId="41" xfId="0" applyNumberFormat="1" applyFont="1" applyFill="1" applyBorder="1" applyAlignment="1">
      <alignment/>
    </xf>
    <xf numFmtId="0" fontId="22" fillId="8" borderId="13" xfId="0" applyFont="1" applyFill="1" applyBorder="1" applyAlignment="1">
      <alignment horizontal="center"/>
    </xf>
    <xf numFmtId="0" fontId="22" fillId="8" borderId="1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20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/>
    </xf>
    <xf numFmtId="193" fontId="4" fillId="0" borderId="0" xfId="0" applyNumberFormat="1" applyFont="1" applyBorder="1" applyAlignment="1">
      <alignment/>
    </xf>
    <xf numFmtId="0" fontId="25" fillId="0" borderId="31" xfId="0" applyFont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21" xfId="0" applyBorder="1" applyAlignment="1">
      <alignment/>
    </xf>
    <xf numFmtId="0" fontId="26" fillId="0" borderId="42" xfId="0" applyFont="1" applyBorder="1" applyAlignment="1">
      <alignment horizontal="center" vertical="top" wrapText="1"/>
    </xf>
    <xf numFmtId="0" fontId="28" fillId="7" borderId="43" xfId="0" applyFont="1" applyFill="1" applyBorder="1" applyAlignment="1">
      <alignment horizontal="center" vertical="center" wrapText="1"/>
    </xf>
    <xf numFmtId="0" fontId="28" fillId="7" borderId="44" xfId="0" applyFont="1" applyFill="1" applyBorder="1" applyAlignment="1">
      <alignment horizontal="center" vertical="center" wrapText="1"/>
    </xf>
    <xf numFmtId="0" fontId="29" fillId="7" borderId="44" xfId="0" applyFont="1" applyFill="1" applyBorder="1" applyAlignment="1">
      <alignment horizontal="center" vertical="top" wrapText="1"/>
    </xf>
    <xf numFmtId="0" fontId="29" fillId="7" borderId="45" xfId="0" applyFont="1" applyFill="1" applyBorder="1" applyAlignment="1">
      <alignment horizontal="center" vertical="top" wrapText="1"/>
    </xf>
    <xf numFmtId="0" fontId="30" fillId="12" borderId="37" xfId="0" applyFont="1" applyFill="1" applyBorder="1" applyAlignment="1">
      <alignment horizontal="center" vertical="top" wrapText="1"/>
    </xf>
    <xf numFmtId="193" fontId="31" fillId="3" borderId="46" xfId="0" applyNumberFormat="1" applyFont="1" applyFill="1" applyBorder="1" applyAlignment="1">
      <alignment horizontal="center" vertical="top" wrapText="1"/>
    </xf>
    <xf numFmtId="193" fontId="31" fillId="3" borderId="19" xfId="0" applyNumberFormat="1" applyFont="1" applyFill="1" applyBorder="1" applyAlignment="1">
      <alignment horizontal="center" vertical="top" wrapText="1"/>
    </xf>
    <xf numFmtId="0" fontId="31" fillId="3" borderId="19" xfId="0" applyFont="1" applyFill="1" applyBorder="1" applyAlignment="1">
      <alignment horizontal="center" vertical="top" wrapText="1"/>
    </xf>
    <xf numFmtId="0" fontId="0" fillId="3" borderId="19" xfId="0" applyFill="1" applyBorder="1" applyAlignment="1">
      <alignment horizontal="center"/>
    </xf>
    <xf numFmtId="0" fontId="0" fillId="3" borderId="19" xfId="0" applyFill="1" applyBorder="1" applyAlignment="1">
      <alignment horizontal="right"/>
    </xf>
    <xf numFmtId="0" fontId="0" fillId="3" borderId="20" xfId="0" applyFill="1" applyBorder="1" applyAlignment="1">
      <alignment horizontal="right"/>
    </xf>
    <xf numFmtId="0" fontId="30" fillId="12" borderId="38" xfId="0" applyFont="1" applyFill="1" applyBorder="1" applyAlignment="1">
      <alignment horizontal="center" vertical="top" wrapText="1"/>
    </xf>
    <xf numFmtId="193" fontId="31" fillId="8" borderId="47" xfId="0" applyNumberFormat="1" applyFont="1" applyFill="1" applyBorder="1" applyAlignment="1">
      <alignment horizontal="center" vertical="top" wrapText="1"/>
    </xf>
    <xf numFmtId="193" fontId="31" fillId="8" borderId="2" xfId="0" applyNumberFormat="1" applyFont="1" applyFill="1" applyBorder="1" applyAlignment="1">
      <alignment horizontal="center" vertical="top" wrapText="1"/>
    </xf>
    <xf numFmtId="0" fontId="31" fillId="8" borderId="2" xfId="0" applyFont="1" applyFill="1" applyBorder="1" applyAlignment="1">
      <alignment horizontal="center" vertical="top" wrapText="1"/>
    </xf>
    <xf numFmtId="0" fontId="0" fillId="8" borderId="2" xfId="0" applyFill="1" applyBorder="1" applyAlignment="1">
      <alignment horizontal="center"/>
    </xf>
    <xf numFmtId="0" fontId="0" fillId="8" borderId="2" xfId="0" applyFill="1" applyBorder="1" applyAlignment="1">
      <alignment horizontal="right"/>
    </xf>
    <xf numFmtId="0" fontId="0" fillId="8" borderId="11" xfId="0" applyFill="1" applyBorder="1" applyAlignment="1">
      <alignment horizontal="right"/>
    </xf>
    <xf numFmtId="193" fontId="31" fillId="3" borderId="47" xfId="0" applyNumberFormat="1" applyFont="1" applyFill="1" applyBorder="1" applyAlignment="1">
      <alignment horizontal="center" vertical="top" wrapText="1"/>
    </xf>
    <xf numFmtId="193" fontId="31" fillId="3" borderId="2" xfId="0" applyNumberFormat="1" applyFont="1" applyFill="1" applyBorder="1" applyAlignment="1">
      <alignment horizontal="center" vertical="top" wrapText="1"/>
    </xf>
    <xf numFmtId="0" fontId="31" fillId="3" borderId="2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31" fillId="0" borderId="31" xfId="0" applyFont="1" applyBorder="1" applyAlignment="1">
      <alignment horizontal="left" indent="2"/>
    </xf>
    <xf numFmtId="0" fontId="26" fillId="0" borderId="8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6" fillId="0" borderId="8" xfId="0" applyFont="1" applyFill="1" applyBorder="1" applyAlignment="1">
      <alignment horizontal="left" vertical="top"/>
    </xf>
    <xf numFmtId="0" fontId="26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28" fillId="0" borderId="0" xfId="0" applyFont="1" applyFill="1" applyBorder="1" applyAlignment="1">
      <alignment horizontal="left" vertical="top"/>
    </xf>
    <xf numFmtId="0" fontId="1" fillId="0" borderId="0" xfId="0" applyFont="1" applyAlignment="1" applyProtection="1">
      <alignment/>
      <protection locked="0"/>
    </xf>
    <xf numFmtId="0" fontId="13" fillId="0" borderId="31" xfId="0" applyFon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186" fontId="8" fillId="0" borderId="0" xfId="0" applyNumberFormat="1" applyFont="1" applyBorder="1" applyAlignment="1" applyProtection="1">
      <alignment horizontal="left"/>
      <protection/>
    </xf>
    <xf numFmtId="0" fontId="24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4" fillId="0" borderId="41" xfId="0" applyNumberFormat="1" applyFont="1" applyBorder="1" applyAlignment="1">
      <alignment/>
    </xf>
    <xf numFmtId="193" fontId="4" fillId="0" borderId="48" xfId="0" applyNumberFormat="1" applyFont="1" applyBorder="1" applyAlignment="1">
      <alignment horizontal="center"/>
    </xf>
    <xf numFmtId="193" fontId="4" fillId="0" borderId="49" xfId="0" applyNumberFormat="1" applyFont="1" applyBorder="1" applyAlignment="1">
      <alignment horizontal="center"/>
    </xf>
    <xf numFmtId="0" fontId="6" fillId="0" borderId="50" xfId="0" applyFont="1" applyBorder="1" applyAlignment="1">
      <alignment/>
    </xf>
    <xf numFmtId="0" fontId="33" fillId="0" borderId="0" xfId="20" applyFont="1" applyAlignment="1">
      <alignment/>
    </xf>
    <xf numFmtId="0" fontId="34" fillId="0" borderId="0" xfId="20" applyFont="1" applyAlignment="1">
      <alignment/>
    </xf>
    <xf numFmtId="0" fontId="2" fillId="0" borderId="25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0" fontId="35" fillId="0" borderId="23" xfId="0" applyFont="1" applyBorder="1" applyAlignment="1">
      <alignment/>
    </xf>
    <xf numFmtId="0" fontId="35" fillId="0" borderId="26" xfId="0" applyFont="1" applyBorder="1" applyAlignment="1">
      <alignment/>
    </xf>
    <xf numFmtId="0" fontId="35" fillId="0" borderId="26" xfId="0" applyFont="1" applyBorder="1" applyAlignment="1" applyProtection="1">
      <alignment horizontal="left"/>
      <protection/>
    </xf>
    <xf numFmtId="0" fontId="35" fillId="0" borderId="28" xfId="0" applyFont="1" applyBorder="1" applyAlignment="1" applyProtection="1">
      <alignment horizontal="left"/>
      <protection/>
    </xf>
    <xf numFmtId="0" fontId="1" fillId="0" borderId="31" xfId="0" applyFont="1" applyBorder="1" applyAlignment="1">
      <alignment horizontal="center"/>
    </xf>
    <xf numFmtId="0" fontId="5" fillId="0" borderId="7" xfId="0" applyFont="1" applyBorder="1" applyAlignment="1">
      <alignment/>
    </xf>
    <xf numFmtId="0" fontId="5" fillId="0" borderId="51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1" xfId="0" applyFont="1" applyBorder="1" applyAlignment="1" applyProtection="1">
      <alignment horizontal="center"/>
      <protection locked="0"/>
    </xf>
    <xf numFmtId="0" fontId="5" fillId="0" borderId="34" xfId="0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5" fillId="9" borderId="3" xfId="0" applyNumberFormat="1" applyFont="1" applyFill="1" applyBorder="1" applyAlignment="1">
      <alignment horizontal="center"/>
    </xf>
    <xf numFmtId="0" fontId="5" fillId="9" borderId="4" xfId="0" applyNumberFormat="1" applyFont="1" applyFill="1" applyBorder="1" applyAlignment="1">
      <alignment horizontal="center"/>
    </xf>
    <xf numFmtId="0" fontId="5" fillId="10" borderId="3" xfId="0" applyNumberFormat="1" applyFont="1" applyFill="1" applyBorder="1" applyAlignment="1">
      <alignment horizontal="center"/>
    </xf>
    <xf numFmtId="0" fontId="5" fillId="10" borderId="4" xfId="0" applyNumberFormat="1" applyFont="1" applyFill="1" applyBorder="1" applyAlignment="1">
      <alignment horizontal="center"/>
    </xf>
    <xf numFmtId="0" fontId="5" fillId="8" borderId="3" xfId="0" applyNumberFormat="1" applyFont="1" applyFill="1" applyBorder="1" applyAlignment="1">
      <alignment horizontal="center"/>
    </xf>
    <xf numFmtId="0" fontId="5" fillId="8" borderId="4" xfId="0" applyNumberFormat="1" applyFont="1" applyFill="1" applyBorder="1" applyAlignment="1">
      <alignment horizontal="center"/>
    </xf>
    <xf numFmtId="0" fontId="5" fillId="11" borderId="3" xfId="0" applyNumberFormat="1" applyFont="1" applyFill="1" applyBorder="1" applyAlignment="1">
      <alignment horizontal="center"/>
    </xf>
    <xf numFmtId="0" fontId="5" fillId="11" borderId="4" xfId="0" applyNumberFormat="1" applyFont="1" applyFill="1" applyBorder="1" applyAlignment="1">
      <alignment horizontal="center"/>
    </xf>
    <xf numFmtId="0" fontId="5" fillId="8" borderId="48" xfId="0" applyNumberFormat="1" applyFont="1" applyFill="1" applyBorder="1" applyAlignment="1">
      <alignment horizontal="center"/>
    </xf>
    <xf numFmtId="0" fontId="5" fillId="8" borderId="49" xfId="0" applyNumberFormat="1" applyFont="1" applyFill="1" applyBorder="1" applyAlignment="1">
      <alignment horizontal="center"/>
    </xf>
    <xf numFmtId="0" fontId="22" fillId="8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24" fillId="0" borderId="0" xfId="0" applyFont="1" applyAlignment="1">
      <alignment wrapText="1"/>
    </xf>
    <xf numFmtId="0" fontId="25" fillId="0" borderId="32" xfId="0" applyFont="1" applyBorder="1" applyAlignment="1">
      <alignment horizontal="center"/>
    </xf>
    <xf numFmtId="0" fontId="25" fillId="0" borderId="51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1" fillId="0" borderId="3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LRK350-20-11w Eta=Pmech/Pein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901091"/>
        <c:axId val="8109820"/>
      </c:scatterChart>
      <c:valAx>
        <c:axId val="901091"/>
        <c:scaling>
          <c:orientation val="minMax"/>
        </c:scaling>
        <c:axPos val="b"/>
        <c:majorGridlines/>
        <c:delete val="0"/>
        <c:numFmt formatCode="General" sourceLinked="0"/>
        <c:majorTickMark val="out"/>
        <c:minorTickMark val="none"/>
        <c:tickLblPos val="nextTo"/>
        <c:crossAx val="8109820"/>
        <c:crosses val="autoZero"/>
        <c:crossBetween val="midCat"/>
        <c:dispUnits/>
      </c:valAx>
      <c:valAx>
        <c:axId val="8109820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901091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LRK350-20-11w Eta=Pmech/Pein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879517"/>
        <c:axId val="52915654"/>
      </c:scatterChart>
      <c:valAx>
        <c:axId val="5879517"/>
        <c:scaling>
          <c:orientation val="minMax"/>
        </c:scaling>
        <c:axPos val="b"/>
        <c:majorGridlines/>
        <c:delete val="0"/>
        <c:numFmt formatCode="General" sourceLinked="0"/>
        <c:majorTickMark val="out"/>
        <c:minorTickMark val="none"/>
        <c:tickLblPos val="nextTo"/>
        <c:crossAx val="52915654"/>
        <c:crosses val="autoZero"/>
        <c:crossBetween val="midCat"/>
        <c:dispUnits/>
      </c:valAx>
      <c:valAx>
        <c:axId val="52915654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879517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LRK350-20-11w Eta=Pmech/Pein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6478839"/>
        <c:axId val="58309552"/>
      </c:scatterChart>
      <c:valAx>
        <c:axId val="6478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Pein Watt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58309552"/>
        <c:crosses val="autoZero"/>
        <c:crossBetween val="midCat"/>
        <c:dispUnits/>
      </c:valAx>
      <c:valAx>
        <c:axId val="58309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6478839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LRK350-20-11w Eta=Pmech/Pein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55023921"/>
        <c:axId val="25453242"/>
      </c:scatterChart>
      <c:valAx>
        <c:axId val="550239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Pein Watt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25453242"/>
        <c:crosses val="autoZero"/>
        <c:crossBetween val="midCat"/>
        <c:dispUnits/>
      </c:valAx>
      <c:valAx>
        <c:axId val="25453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55023921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LRK350-20-11w Eta=Pmech/Pein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27752587"/>
        <c:axId val="48446692"/>
      </c:scatterChart>
      <c:valAx>
        <c:axId val="27752587"/>
        <c:scaling>
          <c:orientation val="minMax"/>
        </c:scaling>
        <c:axPos val="b"/>
        <c:majorGridlines/>
        <c:delete val="0"/>
        <c:numFmt formatCode="General" sourceLinked="0"/>
        <c:majorTickMark val="out"/>
        <c:minorTickMark val="none"/>
        <c:tickLblPos val="nextTo"/>
        <c:crossAx val="48446692"/>
        <c:crosses val="autoZero"/>
        <c:crossBetween val="midCat"/>
        <c:dispUnits/>
      </c:valAx>
      <c:valAx>
        <c:axId val="48446692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7752587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LRK350-20-11w Eta=Pmech/Pein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strRef>
              <c:f>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axId val="33367045"/>
        <c:axId val="31867950"/>
      </c:scatterChart>
      <c:valAx>
        <c:axId val="33367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Pein Watt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31867950"/>
        <c:crosses val="autoZero"/>
        <c:crossBetween val="midCat"/>
        <c:dispUnits/>
      </c:valAx>
      <c:valAx>
        <c:axId val="31867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crossAx val="33367045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19050</xdr:rowOff>
    </xdr:from>
    <xdr:to>
      <xdr:col>18</xdr:col>
      <xdr:colOff>685800</xdr:colOff>
      <xdr:row>3</xdr:row>
      <xdr:rowOff>276225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47700"/>
          <a:ext cx="7372350" cy="392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0</xdr:rowOff>
    </xdr:from>
    <xdr:to>
      <xdr:col>10</xdr:col>
      <xdr:colOff>161925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285875" y="622935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0</xdr:rowOff>
    </xdr:from>
    <xdr:to>
      <xdr:col>10</xdr:col>
      <xdr:colOff>161925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285875" y="622935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0</xdr:rowOff>
    </xdr:from>
    <xdr:to>
      <xdr:col>10</xdr:col>
      <xdr:colOff>161925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285875" y="622935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0</xdr:rowOff>
    </xdr:from>
    <xdr:to>
      <xdr:col>10</xdr:col>
      <xdr:colOff>161925</xdr:colOff>
      <xdr:row>37</xdr:row>
      <xdr:rowOff>0</xdr:rowOff>
    </xdr:to>
    <xdr:graphicFrame>
      <xdr:nvGraphicFramePr>
        <xdr:cNvPr id="1" name="Chart 2"/>
        <xdr:cNvGraphicFramePr/>
      </xdr:nvGraphicFramePr>
      <xdr:xfrm>
        <a:off x="1285875" y="622935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0</xdr:rowOff>
    </xdr:from>
    <xdr:to>
      <xdr:col>10</xdr:col>
      <xdr:colOff>161925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285875" y="622935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0</xdr:rowOff>
    </xdr:from>
    <xdr:to>
      <xdr:col>10</xdr:col>
      <xdr:colOff>161925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1638300" y="6229350"/>
        <a:ext cx="6210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rcman.de/eco/Antriebsvorschlag.html" TargetMode="External" /><Relationship Id="rId2" Type="http://schemas.openxmlformats.org/officeDocument/2006/relationships/hyperlink" Target="http://www.torcman.de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torcman.de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luftschrauben.de/" TargetMode="External" /><Relationship Id="rId2" Type="http://schemas.openxmlformats.org/officeDocument/2006/relationships/hyperlink" Target="http://www.torcman.de/" TargetMode="External" /><Relationship Id="rId3" Type="http://schemas.openxmlformats.org/officeDocument/2006/relationships/hyperlink" Target="http://www.torcman.de/" TargetMode="External" /><Relationship Id="rId4" Type="http://schemas.openxmlformats.org/officeDocument/2006/relationships/hyperlink" Target="http://www.elektromodellflug.de/" TargetMode="Externa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zoomScale="85" zoomScaleNormal="85" workbookViewId="0" topLeftCell="A7">
      <selection activeCell="G29" sqref="G29"/>
    </sheetView>
  </sheetViews>
  <sheetFormatPr defaultColWidth="9.140625" defaultRowHeight="12.75"/>
  <cols>
    <col min="9" max="9" width="18.140625" style="0" customWidth="1"/>
  </cols>
  <sheetData>
    <row r="1" s="76" customFormat="1" ht="26.25">
      <c r="A1" s="195" t="s">
        <v>147</v>
      </c>
    </row>
    <row r="2" spans="1:7" s="76" customFormat="1" ht="20.25">
      <c r="A2" s="251" t="s">
        <v>187</v>
      </c>
      <c r="G2" s="252" t="s">
        <v>61</v>
      </c>
    </row>
    <row r="3" spans="1:11" ht="15.75">
      <c r="A3" s="77" t="s">
        <v>245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spans="1:11" ht="12.75">
      <c r="A4" s="132"/>
      <c r="B4" s="74"/>
      <c r="C4" s="74"/>
      <c r="D4" s="74"/>
      <c r="E4" s="74"/>
      <c r="F4" s="74"/>
      <c r="G4" s="74"/>
      <c r="H4" s="74"/>
      <c r="I4" s="74"/>
      <c r="J4" s="74"/>
      <c r="K4" s="74"/>
    </row>
    <row r="5" spans="1:11" ht="15.75">
      <c r="A5" s="77" t="s">
        <v>156</v>
      </c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s="196" customFormat="1" ht="12.75">
      <c r="A6" s="199" t="s">
        <v>188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</row>
    <row r="7" spans="1:9" ht="12.75">
      <c r="A7" s="282" t="s">
        <v>166</v>
      </c>
      <c r="B7" s="283"/>
      <c r="C7" s="283"/>
      <c r="D7" s="283"/>
      <c r="E7" s="283"/>
      <c r="F7" s="283"/>
      <c r="G7" s="283"/>
      <c r="H7" s="283"/>
      <c r="I7" s="283"/>
    </row>
    <row r="8" spans="1:11" ht="12.75">
      <c r="A8" s="128"/>
      <c r="B8" s="74"/>
      <c r="C8" s="74"/>
      <c r="D8" s="74"/>
      <c r="E8" s="74"/>
      <c r="F8" s="74"/>
      <c r="G8" s="74"/>
      <c r="H8" s="74"/>
      <c r="I8" s="74"/>
      <c r="J8" s="74"/>
      <c r="K8" s="74"/>
    </row>
    <row r="9" spans="1:11" ht="15.75">
      <c r="A9" s="77" t="s">
        <v>148</v>
      </c>
      <c r="B9" s="74"/>
      <c r="C9" s="74"/>
      <c r="D9" s="74"/>
      <c r="E9" s="74"/>
      <c r="F9" s="74"/>
      <c r="G9" s="74"/>
      <c r="H9" s="74" t="s">
        <v>75</v>
      </c>
      <c r="I9" s="74" t="s">
        <v>75</v>
      </c>
      <c r="J9" s="74" t="s">
        <v>75</v>
      </c>
      <c r="K9" s="74"/>
    </row>
    <row r="10" spans="1:11" s="13" customFormat="1" ht="11.25">
      <c r="A10" s="78"/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ht="12.75">
      <c r="A11" t="s">
        <v>167</v>
      </c>
    </row>
    <row r="12" ht="12.75">
      <c r="A12" t="s">
        <v>189</v>
      </c>
    </row>
    <row r="13" ht="12.75">
      <c r="A13" t="s">
        <v>154</v>
      </c>
    </row>
    <row r="14" ht="12.75">
      <c r="A14" t="s">
        <v>155</v>
      </c>
    </row>
    <row r="15" ht="12.75">
      <c r="A15" t="s">
        <v>150</v>
      </c>
    </row>
    <row r="16" ht="12.75">
      <c r="A16" t="s">
        <v>151</v>
      </c>
    </row>
    <row r="17" ht="12.75">
      <c r="A17" t="s">
        <v>152</v>
      </c>
    </row>
    <row r="18" ht="12.75">
      <c r="A18" t="s">
        <v>153</v>
      </c>
    </row>
    <row r="19" ht="12.75">
      <c r="A19" t="s">
        <v>157</v>
      </c>
    </row>
    <row r="20" ht="12.75">
      <c r="A20" t="s">
        <v>158</v>
      </c>
    </row>
    <row r="21" s="13" customFormat="1" ht="12" customHeight="1"/>
    <row r="22" ht="18">
      <c r="A22" s="30" t="s">
        <v>159</v>
      </c>
    </row>
    <row r="23" ht="18">
      <c r="A23" s="30" t="s">
        <v>160</v>
      </c>
    </row>
    <row r="24" ht="12.75" customHeight="1">
      <c r="A24" s="30"/>
    </row>
    <row r="25" spans="1:9" ht="12.75">
      <c r="A25" s="238" t="s">
        <v>161</v>
      </c>
      <c r="B25" s="238"/>
      <c r="C25" s="238"/>
      <c r="D25" s="238"/>
      <c r="E25" s="238"/>
      <c r="F25" s="238"/>
      <c r="G25" s="238"/>
      <c r="H25" s="238"/>
      <c r="I25" s="238"/>
    </row>
    <row r="26" spans="1:9" ht="12.75">
      <c r="A26" s="194" t="s">
        <v>162</v>
      </c>
      <c r="B26" s="197" t="s">
        <v>96</v>
      </c>
      <c r="C26" s="74"/>
      <c r="D26" s="74"/>
      <c r="E26" s="74"/>
      <c r="F26" s="74"/>
      <c r="G26" s="74"/>
      <c r="H26" s="74"/>
      <c r="I26" s="74"/>
    </row>
    <row r="27" spans="1:9" ht="12.75">
      <c r="A27" s="194" t="s">
        <v>163</v>
      </c>
      <c r="B27" t="s">
        <v>149</v>
      </c>
      <c r="C27" s="74"/>
      <c r="D27" s="74"/>
      <c r="E27" s="74"/>
      <c r="F27" s="74"/>
      <c r="G27" s="74"/>
      <c r="H27" s="74"/>
      <c r="I27" s="74"/>
    </row>
    <row r="28" spans="1:9" s="198" customFormat="1" ht="12.75">
      <c r="A28" s="132" t="s">
        <v>190</v>
      </c>
      <c r="B28" s="132"/>
      <c r="C28" s="132"/>
      <c r="D28" s="132"/>
      <c r="E28" s="132"/>
      <c r="F28" s="132"/>
      <c r="G28" s="132"/>
      <c r="H28" s="132"/>
      <c r="I28" s="132"/>
    </row>
    <row r="29" spans="1:9" s="198" customFormat="1" ht="12.75">
      <c r="A29" s="132" t="s">
        <v>164</v>
      </c>
      <c r="B29" s="132"/>
      <c r="C29" s="132"/>
      <c r="D29" s="132"/>
      <c r="E29" s="132"/>
      <c r="F29" s="132"/>
      <c r="G29" s="132"/>
      <c r="H29" s="132"/>
      <c r="I29" s="132"/>
    </row>
    <row r="30" spans="1:9" s="198" customFormat="1" ht="12.75">
      <c r="A30" s="132" t="s">
        <v>165</v>
      </c>
      <c r="B30" s="132"/>
      <c r="C30" s="132"/>
      <c r="D30" s="132"/>
      <c r="E30" s="132"/>
      <c r="F30" s="132"/>
      <c r="G30" s="132"/>
      <c r="H30" s="132"/>
      <c r="I30" s="132"/>
    </row>
    <row r="31" spans="1:9" s="198" customFormat="1" ht="12.75">
      <c r="A31" s="132" t="s">
        <v>191</v>
      </c>
      <c r="B31" s="132"/>
      <c r="C31" s="132"/>
      <c r="D31" s="132"/>
      <c r="E31" s="132"/>
      <c r="F31" s="132"/>
      <c r="G31" s="132"/>
      <c r="H31" s="132"/>
      <c r="I31" s="132"/>
    </row>
    <row r="32" spans="1:9" s="198" customFormat="1" ht="12.75">
      <c r="A32" s="132" t="s">
        <v>168</v>
      </c>
      <c r="B32" s="132"/>
      <c r="C32" s="132"/>
      <c r="D32" s="132"/>
      <c r="E32" s="132"/>
      <c r="F32" s="132"/>
      <c r="G32" s="132"/>
      <c r="H32" s="132"/>
      <c r="I32" s="132"/>
    </row>
    <row r="33" spans="1:9" s="198" customFormat="1" ht="12.75">
      <c r="A33" s="132" t="s">
        <v>170</v>
      </c>
      <c r="B33" s="132"/>
      <c r="C33" s="132"/>
      <c r="D33" s="132"/>
      <c r="E33" s="132"/>
      <c r="F33" s="132"/>
      <c r="G33" s="132"/>
      <c r="H33" s="132"/>
      <c r="I33" s="132"/>
    </row>
    <row r="34" spans="1:9" s="198" customFormat="1" ht="12.75">
      <c r="A34" s="132" t="s">
        <v>169</v>
      </c>
      <c r="B34" s="132"/>
      <c r="C34" s="132"/>
      <c r="D34" s="132"/>
      <c r="E34" s="132"/>
      <c r="F34" s="132"/>
      <c r="G34" s="132"/>
      <c r="H34" s="132"/>
      <c r="I34" s="132"/>
    </row>
    <row r="35" spans="1:9" s="198" customFormat="1" ht="12.75">
      <c r="A35" s="132" t="s">
        <v>171</v>
      </c>
      <c r="B35" s="132"/>
      <c r="C35" s="132"/>
      <c r="D35" s="132"/>
      <c r="E35" s="132"/>
      <c r="F35" s="132"/>
      <c r="G35" s="132"/>
      <c r="H35" s="132"/>
      <c r="I35" s="132"/>
    </row>
    <row r="36" spans="1:9" s="198" customFormat="1" ht="12.75">
      <c r="A36" s="132" t="s">
        <v>172</v>
      </c>
      <c r="B36" s="132"/>
      <c r="C36" s="132"/>
      <c r="D36" s="132"/>
      <c r="E36" s="132"/>
      <c r="F36" s="132"/>
      <c r="G36" s="132"/>
      <c r="H36" s="132"/>
      <c r="I36" s="132"/>
    </row>
    <row r="37" spans="1:9" s="198" customFormat="1" ht="12.75">
      <c r="A37" s="132" t="s">
        <v>173</v>
      </c>
      <c r="B37" s="132"/>
      <c r="C37" s="132"/>
      <c r="D37" s="132"/>
      <c r="E37" s="132"/>
      <c r="F37" s="132"/>
      <c r="G37" s="132"/>
      <c r="H37" s="132"/>
      <c r="I37" s="132"/>
    </row>
    <row r="38" spans="1:9" s="198" customFormat="1" ht="12.75">
      <c r="A38" s="132" t="s">
        <v>192</v>
      </c>
      <c r="B38" s="132"/>
      <c r="C38" s="132"/>
      <c r="D38" s="132"/>
      <c r="E38" s="132"/>
      <c r="F38" s="132"/>
      <c r="G38" s="132"/>
      <c r="H38" s="132"/>
      <c r="I38" s="132"/>
    </row>
    <row r="39" spans="1:9" s="198" customFormat="1" ht="12.75">
      <c r="A39" s="132" t="s">
        <v>174</v>
      </c>
      <c r="B39" s="132"/>
      <c r="C39" s="132"/>
      <c r="D39" s="132"/>
      <c r="E39" s="132"/>
      <c r="F39" s="132"/>
      <c r="G39" s="132"/>
      <c r="H39" s="132"/>
      <c r="I39" s="132"/>
    </row>
    <row r="40" ht="12.75">
      <c r="A40" s="132" t="s">
        <v>175</v>
      </c>
    </row>
    <row r="41" ht="12.75">
      <c r="A41" s="132" t="s">
        <v>193</v>
      </c>
    </row>
    <row r="42" ht="12.75">
      <c r="A42" s="132"/>
    </row>
    <row r="43" spans="1:13" ht="11.25" customHeight="1">
      <c r="A43" s="242" t="s">
        <v>176</v>
      </c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</row>
    <row r="44" spans="1:13" ht="11.25" customHeight="1">
      <c r="A44" s="284" t="s">
        <v>177</v>
      </c>
      <c r="B44" s="283"/>
      <c r="C44" s="283"/>
      <c r="D44" s="283"/>
      <c r="E44" s="283"/>
      <c r="F44" s="283"/>
      <c r="G44" s="283"/>
      <c r="H44" s="283"/>
      <c r="I44" s="283"/>
      <c r="J44" s="283"/>
      <c r="K44" s="283"/>
      <c r="L44" s="283"/>
      <c r="M44" s="242"/>
    </row>
    <row r="45" spans="1:13" ht="12.75">
      <c r="A45" s="283"/>
      <c r="B45" s="283"/>
      <c r="C45" s="283"/>
      <c r="D45" s="283"/>
      <c r="E45" s="283"/>
      <c r="F45" s="283"/>
      <c r="G45" s="283"/>
      <c r="H45" s="283"/>
      <c r="I45" s="283"/>
      <c r="J45" s="283"/>
      <c r="K45" s="283"/>
      <c r="L45" s="283"/>
      <c r="M45" s="242"/>
    </row>
    <row r="46" spans="1:13" ht="12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242"/>
    </row>
    <row r="47" spans="1:13" ht="12.75">
      <c r="A47" s="242" t="s">
        <v>178</v>
      </c>
      <c r="B47" s="242"/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</row>
    <row r="48" spans="1:13" ht="12.75">
      <c r="A48" s="242" t="s">
        <v>179</v>
      </c>
      <c r="B48" s="242"/>
      <c r="C48" s="242"/>
      <c r="D48" s="242"/>
      <c r="E48" s="242"/>
      <c r="F48" s="242"/>
      <c r="G48" s="242"/>
      <c r="H48" s="242"/>
      <c r="I48" s="242"/>
      <c r="J48" s="242"/>
      <c r="K48" s="242"/>
      <c r="L48" s="242"/>
      <c r="M48" s="242"/>
    </row>
  </sheetData>
  <mergeCells count="2">
    <mergeCell ref="A7:I7"/>
    <mergeCell ref="A44:L45"/>
  </mergeCells>
  <hyperlinks>
    <hyperlink ref="B26" r:id="rId1" display="http://www.torcman.de/eco/Antriebsvorschlag.html"/>
    <hyperlink ref="G2" r:id="rId2" display="http://www.torcman.de/"/>
  </hyperlinks>
  <printOptions/>
  <pageMargins left="0.75" right="0.75" top="1" bottom="1" header="0.5" footer="0.5"/>
  <pageSetup horizontalDpi="1200" verticalDpi="1200" orientation="landscape" paperSize="8" r:id="rId5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B3" sqref="B3:F3"/>
    </sheetView>
  </sheetViews>
  <sheetFormatPr defaultColWidth="9.140625" defaultRowHeight="12.75"/>
  <cols>
    <col min="1" max="1" width="17.8515625" style="0" customWidth="1"/>
    <col min="2" max="2" width="10.140625" style="0" customWidth="1"/>
  </cols>
  <sheetData>
    <row r="1" spans="1:7" ht="24" thickBot="1">
      <c r="A1" s="288" t="s">
        <v>79</v>
      </c>
      <c r="B1" s="289"/>
      <c r="C1" s="289"/>
      <c r="D1" s="289"/>
      <c r="E1" s="289"/>
      <c r="F1" s="290"/>
      <c r="G1" s="13"/>
    </row>
    <row r="2" spans="1:7" ht="13.5" thickBot="1">
      <c r="A2" s="121" t="s">
        <v>61</v>
      </c>
      <c r="B2" s="116"/>
      <c r="C2" s="116"/>
      <c r="D2" s="122"/>
      <c r="E2" s="116"/>
      <c r="F2" s="117"/>
      <c r="G2" s="13"/>
    </row>
    <row r="3" spans="1:7" ht="13.5" thickBot="1">
      <c r="A3" s="123" t="s">
        <v>80</v>
      </c>
      <c r="B3" s="261" t="s">
        <v>239</v>
      </c>
      <c r="C3" s="265" t="s">
        <v>240</v>
      </c>
      <c r="D3" s="294" t="s">
        <v>244</v>
      </c>
      <c r="E3" s="295"/>
      <c r="F3" s="296"/>
      <c r="G3" s="63"/>
    </row>
    <row r="4" spans="1:7" ht="13.5" thickBot="1">
      <c r="A4" s="71"/>
      <c r="B4" s="72" t="s">
        <v>13</v>
      </c>
      <c r="C4" s="73" t="s">
        <v>0</v>
      </c>
      <c r="D4" s="142" t="s">
        <v>81</v>
      </c>
      <c r="E4" s="143" t="s">
        <v>82</v>
      </c>
      <c r="F4" s="144" t="s">
        <v>18</v>
      </c>
      <c r="G4" s="14"/>
    </row>
    <row r="5" spans="1:7" ht="12.75">
      <c r="A5" s="66" t="s">
        <v>83</v>
      </c>
      <c r="B5" s="67"/>
      <c r="C5" s="68"/>
      <c r="D5" s="146">
        <f>+(10/20)^(1/3)*E5</f>
        <v>3333.5422091332193</v>
      </c>
      <c r="E5" s="147">
        <v>4200</v>
      </c>
      <c r="F5" s="146">
        <f>+(100/20)^(1/3)*E5</f>
        <v>7181.898976042126</v>
      </c>
      <c r="G5" s="13"/>
    </row>
    <row r="6" spans="1:7" ht="12.75">
      <c r="A6" s="65" t="s">
        <v>84</v>
      </c>
      <c r="B6" s="17"/>
      <c r="C6" s="18"/>
      <c r="D6" s="148">
        <f>+(10/20)^(1/3)*E6</f>
        <v>2936.6919461411694</v>
      </c>
      <c r="E6" s="149">
        <v>3700</v>
      </c>
      <c r="F6" s="148">
        <f aca="true" t="shared" si="0" ref="F6:F12">+(100/20)^(1/3)*E6</f>
        <v>6326.911002703779</v>
      </c>
      <c r="G6" s="13"/>
    </row>
    <row r="7" spans="1:7" ht="12.75">
      <c r="A7" s="65" t="s">
        <v>85</v>
      </c>
      <c r="B7" s="17"/>
      <c r="C7" s="18"/>
      <c r="D7" s="149">
        <v>4860</v>
      </c>
      <c r="E7" s="148">
        <f>+(20/10)^(1/3)*D7</f>
        <v>6123.216302489083</v>
      </c>
      <c r="F7" s="148">
        <f t="shared" si="0"/>
        <v>10470.552593554954</v>
      </c>
      <c r="G7" s="145"/>
    </row>
    <row r="8" spans="1:7" ht="12.75">
      <c r="A8" s="65" t="s">
        <v>86</v>
      </c>
      <c r="B8" s="17"/>
      <c r="C8" s="18"/>
      <c r="D8" s="149">
        <v>3950</v>
      </c>
      <c r="E8" s="148">
        <f>+(20/10)^(1/3)*D8</f>
        <v>4976.688147084749</v>
      </c>
      <c r="F8" s="148">
        <f t="shared" si="0"/>
        <v>8510.01702562594</v>
      </c>
      <c r="G8" s="13"/>
    </row>
    <row r="9" spans="1:7" ht="12.75">
      <c r="A9" s="65" t="s">
        <v>87</v>
      </c>
      <c r="B9" s="17"/>
      <c r="C9" s="18"/>
      <c r="D9" s="149">
        <v>2350</v>
      </c>
      <c r="E9" s="149">
        <v>2960</v>
      </c>
      <c r="F9" s="148">
        <f t="shared" si="0"/>
        <v>5061.528802163022</v>
      </c>
      <c r="G9" s="13"/>
    </row>
    <row r="10" spans="1:7" ht="12.75">
      <c r="A10" s="65" t="s">
        <v>88</v>
      </c>
      <c r="B10" s="17"/>
      <c r="C10" s="18"/>
      <c r="D10" s="149">
        <v>2130</v>
      </c>
      <c r="E10" s="149">
        <v>2680</v>
      </c>
      <c r="F10" s="148">
        <f t="shared" si="0"/>
        <v>4582.7355370935475</v>
      </c>
      <c r="G10" s="13"/>
    </row>
    <row r="11" spans="1:7" ht="12.75">
      <c r="A11" s="65" t="s">
        <v>89</v>
      </c>
      <c r="B11" s="17"/>
      <c r="C11" s="18"/>
      <c r="D11" s="148">
        <f>+(10/20)^(1/3)*E11</f>
        <v>7762.391144124496</v>
      </c>
      <c r="E11" s="149">
        <v>9780</v>
      </c>
      <c r="F11" s="148">
        <f t="shared" si="0"/>
        <v>16723.564758498094</v>
      </c>
      <c r="G11" s="13"/>
    </row>
    <row r="12" spans="1:7" ht="12.75">
      <c r="A12" s="65" t="s">
        <v>90</v>
      </c>
      <c r="B12" s="17"/>
      <c r="C12" s="18"/>
      <c r="D12" s="148">
        <f>+(10/20)^(1/3)*E12</f>
        <v>4119.305729857478</v>
      </c>
      <c r="E12" s="149">
        <v>5190</v>
      </c>
      <c r="F12" s="148">
        <f t="shared" si="0"/>
        <v>8874.775163252056</v>
      </c>
      <c r="G12" s="13"/>
    </row>
    <row r="13" spans="1:7" ht="13.5" thickBot="1">
      <c r="A13" s="247"/>
      <c r="B13" s="248"/>
      <c r="C13" s="249"/>
      <c r="D13" s="250"/>
      <c r="E13" s="250"/>
      <c r="F13" s="250"/>
      <c r="G13" s="13"/>
    </row>
    <row r="14" spans="1:7" ht="12.75">
      <c r="A14" s="243"/>
      <c r="B14" s="244"/>
      <c r="C14" s="244"/>
      <c r="D14" s="245"/>
      <c r="E14" s="245"/>
      <c r="F14" s="245"/>
      <c r="G14" s="13"/>
    </row>
    <row r="15" spans="1:7" ht="12.75">
      <c r="A15" s="243"/>
      <c r="B15" s="244"/>
      <c r="C15" s="244"/>
      <c r="D15" s="245"/>
      <c r="E15" s="245"/>
      <c r="F15" s="245"/>
      <c r="G15" s="13"/>
    </row>
    <row r="16" spans="1:7" ht="12.75">
      <c r="A16" s="243"/>
      <c r="B16" s="244"/>
      <c r="C16" s="244"/>
      <c r="D16" s="245"/>
      <c r="E16" s="245"/>
      <c r="F16" s="245"/>
      <c r="G16" s="13"/>
    </row>
    <row r="17" spans="1:7" ht="12.75">
      <c r="A17" s="243"/>
      <c r="B17" s="244"/>
      <c r="C17" s="244"/>
      <c r="D17" s="245"/>
      <c r="E17" s="245"/>
      <c r="F17" s="245"/>
      <c r="G17" s="13"/>
    </row>
    <row r="18" spans="1:7" ht="12.75">
      <c r="A18" s="243"/>
      <c r="B18" s="244"/>
      <c r="C18" s="244"/>
      <c r="D18" s="245"/>
      <c r="E18" s="245"/>
      <c r="F18" s="245"/>
      <c r="G18" s="13"/>
    </row>
    <row r="19" spans="1:7" ht="12.75">
      <c r="A19" s="243"/>
      <c r="B19" s="244"/>
      <c r="C19" s="244"/>
      <c r="D19" s="245"/>
      <c r="E19" s="245"/>
      <c r="F19" s="245"/>
      <c r="G19" s="13"/>
    </row>
    <row r="20" spans="1:7" ht="12.75">
      <c r="A20" s="243"/>
      <c r="B20" s="244"/>
      <c r="C20" s="244"/>
      <c r="D20" s="245"/>
      <c r="E20" s="245"/>
      <c r="F20" s="245"/>
      <c r="G20" s="13"/>
    </row>
    <row r="21" spans="1:7" ht="12.75">
      <c r="A21" s="243"/>
      <c r="B21" s="244"/>
      <c r="C21" s="244"/>
      <c r="D21" s="245"/>
      <c r="E21" s="245"/>
      <c r="F21" s="245"/>
      <c r="G21" s="13"/>
    </row>
    <row r="22" spans="1:7" ht="12.75">
      <c r="A22" s="243"/>
      <c r="B22" s="244"/>
      <c r="C22" s="244"/>
      <c r="D22" s="245"/>
      <c r="E22" s="245"/>
      <c r="F22" s="245"/>
      <c r="G22" s="13"/>
    </row>
    <row r="23" spans="1:7" ht="12.75">
      <c r="A23" s="246"/>
      <c r="B23" s="200"/>
      <c r="C23" s="200"/>
      <c r="D23" s="246"/>
      <c r="E23" s="246"/>
      <c r="F23" s="246"/>
      <c r="G23" s="13"/>
    </row>
    <row r="24" spans="1:7" ht="12.75">
      <c r="A24" s="13"/>
      <c r="B24" s="16"/>
      <c r="C24" s="16"/>
      <c r="D24" s="13"/>
      <c r="E24" s="13"/>
      <c r="F24" s="13"/>
      <c r="G24" s="13"/>
    </row>
    <row r="25" spans="1:7" ht="12.75">
      <c r="A25" s="13"/>
      <c r="B25" s="16"/>
      <c r="C25" s="16"/>
      <c r="D25" s="13"/>
      <c r="E25" s="13"/>
      <c r="F25" s="13"/>
      <c r="G25" s="13"/>
    </row>
  </sheetData>
  <mergeCells count="2">
    <mergeCell ref="A1:F1"/>
    <mergeCell ref="D3:F3"/>
  </mergeCells>
  <hyperlinks>
    <hyperlink ref="A2" r:id="rId1" display="http://www.torcman.de/"/>
  </hyperlink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L3" sqref="L3"/>
    </sheetView>
  </sheetViews>
  <sheetFormatPr defaultColWidth="9.140625" defaultRowHeight="12.75"/>
  <cols>
    <col min="1" max="1" width="14.8515625" style="0" customWidth="1"/>
    <col min="2" max="2" width="15.421875" style="0" bestFit="1" customWidth="1"/>
    <col min="3" max="3" width="11.140625" style="0" bestFit="1" customWidth="1"/>
    <col min="4" max="4" width="7.8515625" style="0" customWidth="1"/>
    <col min="5" max="5" width="11.140625" style="0" bestFit="1" customWidth="1"/>
    <col min="6" max="6" width="7.57421875" style="0" customWidth="1"/>
    <col min="7" max="7" width="11.57421875" style="0" customWidth="1"/>
    <col min="8" max="8" width="7.140625" style="0" customWidth="1"/>
    <col min="9" max="9" width="12.140625" style="0" customWidth="1"/>
  </cols>
  <sheetData>
    <row r="1" spans="1:9" ht="18">
      <c r="A1" s="239" t="s">
        <v>69</v>
      </c>
      <c r="B1" s="31"/>
      <c r="C1" s="31"/>
      <c r="D1" s="31"/>
      <c r="E1" s="31"/>
      <c r="F1" s="31"/>
      <c r="G1" s="31"/>
      <c r="H1" s="31"/>
      <c r="I1" s="28"/>
    </row>
    <row r="2" spans="1:9" ht="12.75">
      <c r="A2" s="32"/>
      <c r="B2" s="19"/>
      <c r="D2" s="19"/>
      <c r="E2" s="19"/>
      <c r="F2" s="19"/>
      <c r="G2" s="19"/>
      <c r="H2" s="19"/>
      <c r="I2" s="33"/>
    </row>
    <row r="3" spans="1:9" ht="41.25">
      <c r="A3" s="34" t="s">
        <v>70</v>
      </c>
      <c r="B3" s="35" t="s">
        <v>146</v>
      </c>
      <c r="C3" s="35" t="s">
        <v>71</v>
      </c>
      <c r="D3" s="35" t="s">
        <v>72</v>
      </c>
      <c r="E3" s="35" t="s">
        <v>71</v>
      </c>
      <c r="F3" s="35" t="s">
        <v>73</v>
      </c>
      <c r="G3" s="35" t="s">
        <v>71</v>
      </c>
      <c r="H3" s="35" t="s">
        <v>74</v>
      </c>
      <c r="I3" s="36" t="s">
        <v>71</v>
      </c>
    </row>
    <row r="4" spans="1:9" ht="12.75">
      <c r="A4" s="37"/>
      <c r="B4" s="38"/>
      <c r="C4" s="38"/>
      <c r="D4" s="38"/>
      <c r="E4" s="38"/>
      <c r="F4" s="38"/>
      <c r="G4" s="38"/>
      <c r="H4" s="38"/>
      <c r="I4" s="39"/>
    </row>
    <row r="5" spans="1:9" ht="12.75">
      <c r="A5" s="40">
        <v>0.3</v>
      </c>
      <c r="B5" s="41">
        <f aca="true" t="shared" si="0" ref="B5:B29">PI()*A5^2/4</f>
        <v>0.07068583470577035</v>
      </c>
      <c r="C5" s="42">
        <f aca="true" t="shared" si="1" ref="C5:C29">0.0175*1000/B5</f>
        <v>247.57435592072608</v>
      </c>
      <c r="D5" s="41">
        <f aca="true" t="shared" si="2" ref="D5:D29">B5*2</f>
        <v>0.1413716694115407</v>
      </c>
      <c r="E5" s="42">
        <f aca="true" t="shared" si="3" ref="E5:E29">0.0175*1000/D5</f>
        <v>123.78717796036304</v>
      </c>
      <c r="F5" s="41">
        <f aca="true" t="shared" si="4" ref="F5:F29">B5*3</f>
        <v>0.21205750411731106</v>
      </c>
      <c r="G5" s="42">
        <f aca="true" t="shared" si="5" ref="G5:G29">0.0175*1000/F5</f>
        <v>82.52478530690868</v>
      </c>
      <c r="H5" s="42">
        <f aca="true" t="shared" si="6" ref="H5:H29">B5*4</f>
        <v>0.2827433388230814</v>
      </c>
      <c r="I5" s="43">
        <f aca="true" t="shared" si="7" ref="I5:I29">0.0175*1000/H5</f>
        <v>61.89358898018152</v>
      </c>
    </row>
    <row r="6" spans="1:9" ht="12.75">
      <c r="A6" s="37">
        <v>0.35</v>
      </c>
      <c r="B6" s="41">
        <f t="shared" si="0"/>
        <v>0.0962112750161874</v>
      </c>
      <c r="C6" s="42">
        <f t="shared" si="1"/>
        <v>181.8913635335947</v>
      </c>
      <c r="D6" s="41">
        <f t="shared" si="2"/>
        <v>0.1924225500323748</v>
      </c>
      <c r="E6" s="42">
        <f t="shared" si="3"/>
        <v>90.94568176679735</v>
      </c>
      <c r="F6" s="41">
        <f t="shared" si="4"/>
        <v>0.28863382504856216</v>
      </c>
      <c r="G6" s="42">
        <f t="shared" si="5"/>
        <v>60.630454511198245</v>
      </c>
      <c r="H6" s="42">
        <f t="shared" si="6"/>
        <v>0.3848451000647496</v>
      </c>
      <c r="I6" s="43">
        <f t="shared" si="7"/>
        <v>45.472840883398675</v>
      </c>
    </row>
    <row r="7" spans="1:9" ht="12.75">
      <c r="A7" s="40">
        <v>0.4</v>
      </c>
      <c r="B7" s="41">
        <f t="shared" si="0"/>
        <v>0.12566370614359174</v>
      </c>
      <c r="C7" s="42">
        <f t="shared" si="1"/>
        <v>139.2605752054084</v>
      </c>
      <c r="D7" s="41">
        <f t="shared" si="2"/>
        <v>0.25132741228718347</v>
      </c>
      <c r="E7" s="42">
        <f t="shared" si="3"/>
        <v>69.6302876027042</v>
      </c>
      <c r="F7" s="41">
        <f t="shared" si="4"/>
        <v>0.3769911184307752</v>
      </c>
      <c r="G7" s="42">
        <f t="shared" si="5"/>
        <v>46.420191735136136</v>
      </c>
      <c r="H7" s="42">
        <f t="shared" si="6"/>
        <v>0.5026548245743669</v>
      </c>
      <c r="I7" s="43">
        <f t="shared" si="7"/>
        <v>34.8151438013521</v>
      </c>
    </row>
    <row r="8" spans="1:9" ht="12.75">
      <c r="A8" s="37">
        <v>0.45</v>
      </c>
      <c r="B8" s="41">
        <f t="shared" si="0"/>
        <v>0.1590431280879833</v>
      </c>
      <c r="C8" s="42">
        <f t="shared" si="1"/>
        <v>110.03304707587824</v>
      </c>
      <c r="D8" s="41">
        <f t="shared" si="2"/>
        <v>0.3180862561759666</v>
      </c>
      <c r="E8" s="42">
        <f t="shared" si="3"/>
        <v>55.01652353793912</v>
      </c>
      <c r="F8" s="41">
        <f t="shared" si="4"/>
        <v>0.4771293842639499</v>
      </c>
      <c r="G8" s="42">
        <f t="shared" si="5"/>
        <v>36.67768235862608</v>
      </c>
      <c r="H8" s="42">
        <f t="shared" si="6"/>
        <v>0.6361725123519332</v>
      </c>
      <c r="I8" s="44">
        <f t="shared" si="7"/>
        <v>27.50826176896956</v>
      </c>
    </row>
    <row r="9" spans="1:9" ht="12.75">
      <c r="A9" s="40">
        <v>0.5</v>
      </c>
      <c r="B9" s="41">
        <f t="shared" si="0"/>
        <v>0.19634954084936207</v>
      </c>
      <c r="C9" s="42">
        <f t="shared" si="1"/>
        <v>89.12676813146139</v>
      </c>
      <c r="D9" s="41">
        <f t="shared" si="2"/>
        <v>0.39269908169872414</v>
      </c>
      <c r="E9" s="42">
        <f t="shared" si="3"/>
        <v>44.563384065730695</v>
      </c>
      <c r="F9" s="41">
        <f t="shared" si="4"/>
        <v>0.5890486225480862</v>
      </c>
      <c r="G9" s="42">
        <f t="shared" si="5"/>
        <v>29.70892271048713</v>
      </c>
      <c r="H9" s="45">
        <f t="shared" si="6"/>
        <v>0.7853981633974483</v>
      </c>
      <c r="I9" s="46">
        <f t="shared" si="7"/>
        <v>22.281692032865347</v>
      </c>
    </row>
    <row r="10" spans="1:9" ht="12.75">
      <c r="A10" s="37">
        <v>0.55</v>
      </c>
      <c r="B10" s="41">
        <f t="shared" si="0"/>
        <v>0.23758294442772815</v>
      </c>
      <c r="C10" s="42">
        <f t="shared" si="1"/>
        <v>73.65848605905899</v>
      </c>
      <c r="D10" s="41">
        <f t="shared" si="2"/>
        <v>0.4751658888554563</v>
      </c>
      <c r="E10" s="42">
        <f t="shared" si="3"/>
        <v>36.82924302952949</v>
      </c>
      <c r="F10" s="47">
        <f t="shared" si="4"/>
        <v>0.7127488332831844</v>
      </c>
      <c r="G10" s="48">
        <f t="shared" si="5"/>
        <v>24.552828686353</v>
      </c>
      <c r="H10" s="49">
        <f t="shared" si="6"/>
        <v>0.9503317777109126</v>
      </c>
      <c r="I10" s="50">
        <f t="shared" si="7"/>
        <v>18.414621514764747</v>
      </c>
    </row>
    <row r="11" spans="1:9" ht="12.75">
      <c r="A11" s="40">
        <v>0.6</v>
      </c>
      <c r="B11" s="41">
        <f t="shared" si="0"/>
        <v>0.2827433388230814</v>
      </c>
      <c r="C11" s="42">
        <f t="shared" si="1"/>
        <v>61.89358898018152</v>
      </c>
      <c r="D11" s="41">
        <f t="shared" si="2"/>
        <v>0.5654866776461628</v>
      </c>
      <c r="E11" s="42">
        <f t="shared" si="3"/>
        <v>30.94679449009076</v>
      </c>
      <c r="F11" s="51">
        <f t="shared" si="4"/>
        <v>0.8482300164692442</v>
      </c>
      <c r="G11" s="45">
        <f t="shared" si="5"/>
        <v>20.63119632672717</v>
      </c>
      <c r="H11" s="52">
        <f t="shared" si="6"/>
        <v>1.1309733552923256</v>
      </c>
      <c r="I11" s="53">
        <f t="shared" si="7"/>
        <v>15.47339724504538</v>
      </c>
    </row>
    <row r="12" spans="1:9" ht="12.75">
      <c r="A12" s="37">
        <v>0.65</v>
      </c>
      <c r="B12" s="41">
        <f t="shared" si="0"/>
        <v>0.3318307240354219</v>
      </c>
      <c r="C12" s="42">
        <f t="shared" si="1"/>
        <v>52.737732622166504</v>
      </c>
      <c r="D12" s="41">
        <f t="shared" si="2"/>
        <v>0.6636614480708438</v>
      </c>
      <c r="E12" s="42">
        <f t="shared" si="3"/>
        <v>26.368866311083252</v>
      </c>
      <c r="F12" s="54">
        <f t="shared" si="4"/>
        <v>0.9954921721062657</v>
      </c>
      <c r="G12" s="49">
        <f t="shared" si="5"/>
        <v>17.579244207388832</v>
      </c>
      <c r="H12" s="55">
        <f t="shared" si="6"/>
        <v>1.3273228961416876</v>
      </c>
      <c r="I12" s="56">
        <f t="shared" si="7"/>
        <v>13.184433155541626</v>
      </c>
    </row>
    <row r="13" spans="1:9" ht="12.75">
      <c r="A13" s="40">
        <v>0.7</v>
      </c>
      <c r="B13" s="41">
        <f t="shared" si="0"/>
        <v>0.3848451000647496</v>
      </c>
      <c r="C13" s="42">
        <f t="shared" si="1"/>
        <v>45.472840883398675</v>
      </c>
      <c r="D13" s="47">
        <f t="shared" si="2"/>
        <v>0.7696902001294992</v>
      </c>
      <c r="E13" s="48">
        <f t="shared" si="3"/>
        <v>22.736420441699337</v>
      </c>
      <c r="F13" s="57">
        <f t="shared" si="4"/>
        <v>1.1545353001942487</v>
      </c>
      <c r="G13" s="52">
        <f t="shared" si="5"/>
        <v>15.157613627799561</v>
      </c>
      <c r="H13" s="42">
        <f t="shared" si="6"/>
        <v>1.5393804002589984</v>
      </c>
      <c r="I13" s="43">
        <f t="shared" si="7"/>
        <v>11.368210220849669</v>
      </c>
    </row>
    <row r="14" spans="1:9" ht="12.75">
      <c r="A14" s="37">
        <v>0.75</v>
      </c>
      <c r="B14" s="41">
        <f t="shared" si="0"/>
        <v>0.44178646691106466</v>
      </c>
      <c r="C14" s="42">
        <f t="shared" si="1"/>
        <v>39.611896947316175</v>
      </c>
      <c r="D14" s="51">
        <f t="shared" si="2"/>
        <v>0.8835729338221293</v>
      </c>
      <c r="E14" s="45">
        <f t="shared" si="3"/>
        <v>19.805948473658088</v>
      </c>
      <c r="F14" s="58">
        <f t="shared" si="4"/>
        <v>1.325359400733194</v>
      </c>
      <c r="G14" s="55">
        <f t="shared" si="5"/>
        <v>13.203965649105392</v>
      </c>
      <c r="H14" s="42">
        <f t="shared" si="6"/>
        <v>1.7671458676442586</v>
      </c>
      <c r="I14" s="43">
        <f t="shared" si="7"/>
        <v>9.902974236829044</v>
      </c>
    </row>
    <row r="15" spans="1:9" ht="12.75">
      <c r="A15" s="40">
        <v>0.8</v>
      </c>
      <c r="B15" s="41">
        <f t="shared" si="0"/>
        <v>0.5026548245743669</v>
      </c>
      <c r="C15" s="42">
        <f t="shared" si="1"/>
        <v>34.8151438013521</v>
      </c>
      <c r="D15" s="54">
        <f t="shared" si="2"/>
        <v>1.0053096491487339</v>
      </c>
      <c r="E15" s="49">
        <f t="shared" si="3"/>
        <v>17.40757190067605</v>
      </c>
      <c r="F15" s="41">
        <f t="shared" si="4"/>
        <v>1.5079644737231008</v>
      </c>
      <c r="G15" s="42">
        <f t="shared" si="5"/>
        <v>11.605047933784034</v>
      </c>
      <c r="H15" s="42">
        <f t="shared" si="6"/>
        <v>2.0106192982974678</v>
      </c>
      <c r="I15" s="43">
        <f t="shared" si="7"/>
        <v>8.703785950338025</v>
      </c>
    </row>
    <row r="16" spans="1:9" ht="12.75">
      <c r="A16" s="37">
        <v>0.85</v>
      </c>
      <c r="B16" s="41">
        <f t="shared" si="0"/>
        <v>0.5674501730546563</v>
      </c>
      <c r="C16" s="42">
        <f t="shared" si="1"/>
        <v>30.83971215621502</v>
      </c>
      <c r="D16" s="57">
        <f t="shared" si="2"/>
        <v>1.1349003461093126</v>
      </c>
      <c r="E16" s="52">
        <f t="shared" si="3"/>
        <v>15.41985607810751</v>
      </c>
      <c r="F16" s="41">
        <f t="shared" si="4"/>
        <v>1.7023505191639687</v>
      </c>
      <c r="G16" s="42">
        <f t="shared" si="5"/>
        <v>10.279904052071673</v>
      </c>
      <c r="H16" s="42">
        <f t="shared" si="6"/>
        <v>2.269800692218625</v>
      </c>
      <c r="I16" s="43">
        <f t="shared" si="7"/>
        <v>7.709928039053755</v>
      </c>
    </row>
    <row r="17" spans="1:9" ht="12.75">
      <c r="A17" s="40">
        <v>0.9</v>
      </c>
      <c r="B17" s="41">
        <f t="shared" si="0"/>
        <v>0.6361725123519332</v>
      </c>
      <c r="C17" s="42">
        <f t="shared" si="1"/>
        <v>27.50826176896956</v>
      </c>
      <c r="D17" s="58">
        <f t="shared" si="2"/>
        <v>1.2723450247038663</v>
      </c>
      <c r="E17" s="55">
        <f t="shared" si="3"/>
        <v>13.75413088448478</v>
      </c>
      <c r="F17" s="41">
        <f t="shared" si="4"/>
        <v>1.9085175370557996</v>
      </c>
      <c r="G17" s="42">
        <f t="shared" si="5"/>
        <v>9.16942058965652</v>
      </c>
      <c r="H17" s="42">
        <f t="shared" si="6"/>
        <v>2.5446900494077327</v>
      </c>
      <c r="I17" s="43">
        <f t="shared" si="7"/>
        <v>6.87706544224239</v>
      </c>
    </row>
    <row r="18" spans="1:9" ht="12.75">
      <c r="A18" s="37">
        <v>0.95</v>
      </c>
      <c r="B18" s="41">
        <f t="shared" si="0"/>
        <v>0.7088218424661971</v>
      </c>
      <c r="C18" s="42">
        <f t="shared" si="1"/>
        <v>24.688855438077947</v>
      </c>
      <c r="D18" s="41">
        <f t="shared" si="2"/>
        <v>1.4176436849323941</v>
      </c>
      <c r="E18" s="42">
        <f t="shared" si="3"/>
        <v>12.344427719038974</v>
      </c>
      <c r="F18" s="41">
        <f t="shared" si="4"/>
        <v>2.126465527398591</v>
      </c>
      <c r="G18" s="42">
        <f t="shared" si="5"/>
        <v>8.229618479359317</v>
      </c>
      <c r="H18" s="42">
        <f t="shared" si="6"/>
        <v>2.8352873698647882</v>
      </c>
      <c r="I18" s="43">
        <f t="shared" si="7"/>
        <v>6.172213859519487</v>
      </c>
    </row>
    <row r="19" spans="1:9" ht="12.75">
      <c r="A19" s="40">
        <v>1</v>
      </c>
      <c r="B19" s="47">
        <f t="shared" si="0"/>
        <v>0.7853981633974483</v>
      </c>
      <c r="C19" s="48">
        <f t="shared" si="1"/>
        <v>22.281692032865347</v>
      </c>
      <c r="D19" s="41">
        <f t="shared" si="2"/>
        <v>1.5707963267948966</v>
      </c>
      <c r="E19" s="42">
        <f t="shared" si="3"/>
        <v>11.140846016432674</v>
      </c>
      <c r="F19" s="41">
        <f t="shared" si="4"/>
        <v>2.356194490192345</v>
      </c>
      <c r="G19" s="42">
        <f t="shared" si="5"/>
        <v>7.4272306776217825</v>
      </c>
      <c r="H19" s="42">
        <f t="shared" si="6"/>
        <v>3.141592653589793</v>
      </c>
      <c r="I19" s="43">
        <f t="shared" si="7"/>
        <v>5.570423008216337</v>
      </c>
    </row>
    <row r="20" spans="1:9" ht="12.75">
      <c r="A20" s="37">
        <v>1.05</v>
      </c>
      <c r="B20" s="51">
        <f t="shared" si="0"/>
        <v>0.8659014751456867</v>
      </c>
      <c r="C20" s="45">
        <f t="shared" si="1"/>
        <v>20.210151503732742</v>
      </c>
      <c r="D20" s="41">
        <f t="shared" si="2"/>
        <v>1.7318029502913734</v>
      </c>
      <c r="E20" s="42">
        <f t="shared" si="3"/>
        <v>10.105075751866371</v>
      </c>
      <c r="F20" s="41">
        <f t="shared" si="4"/>
        <v>2.59770442543706</v>
      </c>
      <c r="G20" s="42">
        <f t="shared" si="5"/>
        <v>6.736717167910914</v>
      </c>
      <c r="H20" s="42">
        <f t="shared" si="6"/>
        <v>3.463605900582747</v>
      </c>
      <c r="I20" s="43">
        <f t="shared" si="7"/>
        <v>5.052537875933186</v>
      </c>
    </row>
    <row r="21" spans="1:9" ht="12.75">
      <c r="A21" s="40">
        <v>1.1</v>
      </c>
      <c r="B21" s="54">
        <f t="shared" si="0"/>
        <v>0.9503317777109126</v>
      </c>
      <c r="C21" s="49">
        <f t="shared" si="1"/>
        <v>18.414621514764747</v>
      </c>
      <c r="D21" s="41">
        <f t="shared" si="2"/>
        <v>1.9006635554218252</v>
      </c>
      <c r="E21" s="42">
        <f t="shared" si="3"/>
        <v>9.207310757382373</v>
      </c>
      <c r="F21" s="41">
        <f t="shared" si="4"/>
        <v>2.8509953331327376</v>
      </c>
      <c r="G21" s="42">
        <f t="shared" si="5"/>
        <v>6.13820717158825</v>
      </c>
      <c r="H21" s="42">
        <f t="shared" si="6"/>
        <v>3.8013271108436504</v>
      </c>
      <c r="I21" s="43">
        <f t="shared" si="7"/>
        <v>4.603655378691187</v>
      </c>
    </row>
    <row r="22" spans="1:9" ht="12.75">
      <c r="A22" s="37">
        <v>1.15</v>
      </c>
      <c r="B22" s="41">
        <f t="shared" si="0"/>
        <v>1.0386890710931251</v>
      </c>
      <c r="C22" s="42">
        <f t="shared" si="1"/>
        <v>16.848160327308396</v>
      </c>
      <c r="D22" s="41">
        <f t="shared" si="2"/>
        <v>2.0773781421862503</v>
      </c>
      <c r="E22" s="42">
        <f t="shared" si="3"/>
        <v>8.424080163654198</v>
      </c>
      <c r="F22" s="41">
        <f t="shared" si="4"/>
        <v>3.1160672132793756</v>
      </c>
      <c r="G22" s="42">
        <f t="shared" si="5"/>
        <v>5.616053442436131</v>
      </c>
      <c r="H22" s="42">
        <f t="shared" si="6"/>
        <v>4.1547562843725006</v>
      </c>
      <c r="I22" s="43">
        <f t="shared" si="7"/>
        <v>4.212040081827099</v>
      </c>
    </row>
    <row r="23" spans="1:9" ht="12.75">
      <c r="A23" s="40">
        <v>1.2</v>
      </c>
      <c r="B23" s="57">
        <f t="shared" si="0"/>
        <v>1.1309733552923256</v>
      </c>
      <c r="C23" s="52">
        <f t="shared" si="1"/>
        <v>15.47339724504538</v>
      </c>
      <c r="D23" s="41">
        <f t="shared" si="2"/>
        <v>2.261946710584651</v>
      </c>
      <c r="E23" s="42">
        <f t="shared" si="3"/>
        <v>7.73669862252269</v>
      </c>
      <c r="F23" s="41">
        <f t="shared" si="4"/>
        <v>3.392920065876977</v>
      </c>
      <c r="G23" s="42">
        <f t="shared" si="5"/>
        <v>5.157799081681793</v>
      </c>
      <c r="H23" s="42">
        <f t="shared" si="6"/>
        <v>4.523893421169302</v>
      </c>
      <c r="I23" s="43">
        <f t="shared" si="7"/>
        <v>3.868349311261345</v>
      </c>
    </row>
    <row r="24" spans="1:9" ht="12.75">
      <c r="A24" s="37">
        <v>1.25</v>
      </c>
      <c r="B24" s="41">
        <f t="shared" si="0"/>
        <v>1.227184630308513</v>
      </c>
      <c r="C24" s="42">
        <f t="shared" si="1"/>
        <v>14.260282901033822</v>
      </c>
      <c r="D24" s="41">
        <f t="shared" si="2"/>
        <v>2.454369260617026</v>
      </c>
      <c r="E24" s="42">
        <f t="shared" si="3"/>
        <v>7.130141450516911</v>
      </c>
      <c r="F24" s="41">
        <f t="shared" si="4"/>
        <v>3.6815538909255388</v>
      </c>
      <c r="G24" s="42">
        <f t="shared" si="5"/>
        <v>4.753427633677941</v>
      </c>
      <c r="H24" s="42">
        <f t="shared" si="6"/>
        <v>4.908738521234052</v>
      </c>
      <c r="I24" s="43">
        <f t="shared" si="7"/>
        <v>3.5650707252584555</v>
      </c>
    </row>
    <row r="25" spans="1:9" ht="12.75">
      <c r="A25" s="40">
        <v>1.3</v>
      </c>
      <c r="B25" s="58">
        <f t="shared" si="0"/>
        <v>1.3273228961416876</v>
      </c>
      <c r="C25" s="55">
        <f t="shared" si="1"/>
        <v>13.184433155541626</v>
      </c>
      <c r="D25" s="41">
        <f t="shared" si="2"/>
        <v>2.6546457922833753</v>
      </c>
      <c r="E25" s="42">
        <f t="shared" si="3"/>
        <v>6.592216577770813</v>
      </c>
      <c r="F25" s="41">
        <f t="shared" si="4"/>
        <v>3.981968688425063</v>
      </c>
      <c r="G25" s="42">
        <f t="shared" si="5"/>
        <v>4.394811051847208</v>
      </c>
      <c r="H25" s="42">
        <f t="shared" si="6"/>
        <v>5.3092915845667505</v>
      </c>
      <c r="I25" s="43">
        <f t="shared" si="7"/>
        <v>3.2961082888854065</v>
      </c>
    </row>
    <row r="26" spans="1:9" ht="12.75">
      <c r="A26" s="37">
        <v>1.35</v>
      </c>
      <c r="B26" s="41">
        <f t="shared" si="0"/>
        <v>1.4313881527918497</v>
      </c>
      <c r="C26" s="42">
        <f t="shared" si="1"/>
        <v>12.225894119542026</v>
      </c>
      <c r="D26" s="41">
        <f t="shared" si="2"/>
        <v>2.8627763055836994</v>
      </c>
      <c r="E26" s="42">
        <f t="shared" si="3"/>
        <v>6.112947059771013</v>
      </c>
      <c r="F26" s="41">
        <f t="shared" si="4"/>
        <v>4.294164458375549</v>
      </c>
      <c r="G26" s="42">
        <f t="shared" si="5"/>
        <v>4.075298039847342</v>
      </c>
      <c r="H26" s="42">
        <f t="shared" si="6"/>
        <v>5.725552611167399</v>
      </c>
      <c r="I26" s="43">
        <f t="shared" si="7"/>
        <v>3.0564735298855066</v>
      </c>
    </row>
    <row r="27" spans="1:9" ht="12.75">
      <c r="A27" s="40">
        <v>1.4</v>
      </c>
      <c r="B27" s="41">
        <f t="shared" si="0"/>
        <v>1.5393804002589984</v>
      </c>
      <c r="C27" s="42">
        <f t="shared" si="1"/>
        <v>11.368210220849669</v>
      </c>
      <c r="D27" s="41">
        <f t="shared" si="2"/>
        <v>3.0787608005179967</v>
      </c>
      <c r="E27" s="42">
        <f t="shared" si="3"/>
        <v>5.684105110424834</v>
      </c>
      <c r="F27" s="41">
        <f t="shared" si="4"/>
        <v>4.618141200776995</v>
      </c>
      <c r="G27" s="42">
        <f t="shared" si="5"/>
        <v>3.7894034069498903</v>
      </c>
      <c r="H27" s="42">
        <f t="shared" si="6"/>
        <v>6.157521601035993</v>
      </c>
      <c r="I27" s="43">
        <f t="shared" si="7"/>
        <v>2.842052555212417</v>
      </c>
    </row>
    <row r="28" spans="1:9" ht="12.75">
      <c r="A28" s="37">
        <v>1.45</v>
      </c>
      <c r="B28" s="41">
        <f t="shared" si="0"/>
        <v>1.651299638543135</v>
      </c>
      <c r="C28" s="42">
        <f t="shared" si="1"/>
        <v>10.597713214204683</v>
      </c>
      <c r="D28" s="41">
        <f t="shared" si="2"/>
        <v>3.30259927708627</v>
      </c>
      <c r="E28" s="42">
        <f t="shared" si="3"/>
        <v>5.2988566071023415</v>
      </c>
      <c r="F28" s="41">
        <f t="shared" si="4"/>
        <v>4.953898915629406</v>
      </c>
      <c r="G28" s="42">
        <f t="shared" si="5"/>
        <v>3.5325710714015606</v>
      </c>
      <c r="H28" s="42">
        <f t="shared" si="6"/>
        <v>6.60519855417254</v>
      </c>
      <c r="I28" s="43">
        <f t="shared" si="7"/>
        <v>2.6494283035511708</v>
      </c>
    </row>
    <row r="29" spans="1:9" ht="13.5" thickBot="1">
      <c r="A29" s="59">
        <v>1.5</v>
      </c>
      <c r="B29" s="60">
        <f t="shared" si="0"/>
        <v>1.7671458676442586</v>
      </c>
      <c r="C29" s="61">
        <f t="shared" si="1"/>
        <v>9.902974236829044</v>
      </c>
      <c r="D29" s="60">
        <f t="shared" si="2"/>
        <v>3.5342917352885173</v>
      </c>
      <c r="E29" s="61">
        <f t="shared" si="3"/>
        <v>4.951487118414522</v>
      </c>
      <c r="F29" s="60">
        <f t="shared" si="4"/>
        <v>5.301437602932776</v>
      </c>
      <c r="G29" s="61">
        <f t="shared" si="5"/>
        <v>3.300991412276348</v>
      </c>
      <c r="H29" s="61">
        <f t="shared" si="6"/>
        <v>7.0685834705770345</v>
      </c>
      <c r="I29" s="62">
        <f t="shared" si="7"/>
        <v>2.475743559207261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Q19" sqref="Q19"/>
    </sheetView>
  </sheetViews>
  <sheetFormatPr defaultColWidth="9.140625" defaultRowHeight="12.75"/>
  <cols>
    <col min="2" max="16" width="4.7109375" style="0" customWidth="1"/>
    <col min="17" max="17" width="11.8515625" style="0" customWidth="1"/>
    <col min="19" max="19" width="10.8515625" style="0" customWidth="1"/>
  </cols>
  <sheetData>
    <row r="1" spans="1:19" ht="24.75" thickBot="1">
      <c r="A1" s="285" t="s">
        <v>180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7"/>
    </row>
    <row r="2" spans="1:19" ht="24.75" thickBot="1">
      <c r="A2" s="201"/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3"/>
    </row>
    <row r="3" spans="1:19" ht="288.75" customHeight="1">
      <c r="A3" s="20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28"/>
    </row>
    <row r="4" spans="1:20" ht="28.5" customHeight="1" thickBot="1">
      <c r="A4" s="205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29"/>
      <c r="T4" s="19"/>
    </row>
    <row r="5" spans="1:19" ht="4.5" customHeight="1" thickBot="1">
      <c r="A5" s="205"/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29"/>
    </row>
    <row r="6" spans="1:19" ht="51.75" thickBot="1">
      <c r="A6" s="206"/>
      <c r="B6" s="207" t="s">
        <v>144</v>
      </c>
      <c r="C6" s="208" t="s">
        <v>97</v>
      </c>
      <c r="D6" s="208" t="s">
        <v>98</v>
      </c>
      <c r="E6" s="208" t="s">
        <v>13</v>
      </c>
      <c r="F6" s="208" t="s">
        <v>99</v>
      </c>
      <c r="G6" s="208" t="s">
        <v>100</v>
      </c>
      <c r="H6" s="208" t="s">
        <v>101</v>
      </c>
      <c r="I6" s="208" t="s">
        <v>0</v>
      </c>
      <c r="J6" s="208" t="s">
        <v>102</v>
      </c>
      <c r="K6" s="208" t="s">
        <v>103</v>
      </c>
      <c r="L6" s="208" t="s">
        <v>14</v>
      </c>
      <c r="M6" s="208" t="s">
        <v>104</v>
      </c>
      <c r="N6" s="208" t="s">
        <v>10</v>
      </c>
      <c r="O6" s="208" t="s">
        <v>105</v>
      </c>
      <c r="P6" s="207" t="s">
        <v>145</v>
      </c>
      <c r="Q6" s="209" t="s">
        <v>181</v>
      </c>
      <c r="R6" s="209" t="s">
        <v>182</v>
      </c>
      <c r="S6" s="210" t="s">
        <v>183</v>
      </c>
    </row>
    <row r="7" spans="1:19" ht="12.75">
      <c r="A7" s="211" t="s">
        <v>106</v>
      </c>
      <c r="B7" s="212">
        <v>40</v>
      </c>
      <c r="C7" s="213">
        <v>26</v>
      </c>
      <c r="D7" s="213">
        <v>4</v>
      </c>
      <c r="E7" s="213">
        <v>21.5</v>
      </c>
      <c r="F7" s="213">
        <v>8</v>
      </c>
      <c r="G7" s="213">
        <v>0.8</v>
      </c>
      <c r="H7" s="213">
        <v>2</v>
      </c>
      <c r="I7" s="213">
        <v>4</v>
      </c>
      <c r="J7" s="213">
        <v>11</v>
      </c>
      <c r="K7" s="213">
        <v>34.4</v>
      </c>
      <c r="L7" s="213">
        <v>4</v>
      </c>
      <c r="M7" s="213">
        <v>26</v>
      </c>
      <c r="N7" s="213">
        <v>15</v>
      </c>
      <c r="O7" s="214" t="s">
        <v>107</v>
      </c>
      <c r="P7" s="213">
        <v>4.5</v>
      </c>
      <c r="Q7" s="215" t="s">
        <v>108</v>
      </c>
      <c r="R7" s="216" t="s">
        <v>109</v>
      </c>
      <c r="S7" s="217" t="s">
        <v>110</v>
      </c>
    </row>
    <row r="8" spans="1:19" ht="12.75">
      <c r="A8" s="218" t="s">
        <v>111</v>
      </c>
      <c r="B8" s="219">
        <v>50</v>
      </c>
      <c r="C8" s="220">
        <v>31</v>
      </c>
      <c r="D8" s="220">
        <v>4</v>
      </c>
      <c r="E8" s="220">
        <v>21.5</v>
      </c>
      <c r="F8" s="220">
        <v>8</v>
      </c>
      <c r="G8" s="220">
        <v>0.8</v>
      </c>
      <c r="H8" s="220">
        <v>2</v>
      </c>
      <c r="I8" s="220">
        <v>4</v>
      </c>
      <c r="J8" s="220">
        <v>11</v>
      </c>
      <c r="K8" s="220">
        <v>34.4</v>
      </c>
      <c r="L8" s="220">
        <v>4</v>
      </c>
      <c r="M8" s="220">
        <v>26</v>
      </c>
      <c r="N8" s="220">
        <v>15</v>
      </c>
      <c r="O8" s="221" t="s">
        <v>107</v>
      </c>
      <c r="P8" s="220">
        <v>4.5</v>
      </c>
      <c r="Q8" s="222" t="s">
        <v>112</v>
      </c>
      <c r="R8" s="223" t="s">
        <v>113</v>
      </c>
      <c r="S8" s="224" t="s">
        <v>114</v>
      </c>
    </row>
    <row r="9" spans="1:19" ht="12.75">
      <c r="A9" s="218" t="s">
        <v>115</v>
      </c>
      <c r="B9" s="225">
        <v>50</v>
      </c>
      <c r="C9" s="226">
        <v>36</v>
      </c>
      <c r="D9" s="226">
        <v>4</v>
      </c>
      <c r="E9" s="226">
        <v>21.5</v>
      </c>
      <c r="F9" s="226">
        <v>8</v>
      </c>
      <c r="G9" s="226">
        <v>0.8</v>
      </c>
      <c r="H9" s="226">
        <v>2</v>
      </c>
      <c r="I9" s="226">
        <v>4</v>
      </c>
      <c r="J9" s="226">
        <v>11</v>
      </c>
      <c r="K9" s="226">
        <v>34.4</v>
      </c>
      <c r="L9" s="226">
        <v>4</v>
      </c>
      <c r="M9" s="226">
        <v>26</v>
      </c>
      <c r="N9" s="226">
        <v>15</v>
      </c>
      <c r="O9" s="227" t="s">
        <v>107</v>
      </c>
      <c r="P9" s="226">
        <v>4.5</v>
      </c>
      <c r="Q9" s="228" t="s">
        <v>116</v>
      </c>
      <c r="R9" s="229" t="s">
        <v>114</v>
      </c>
      <c r="S9" s="230" t="s">
        <v>117</v>
      </c>
    </row>
    <row r="10" spans="1:19" ht="12.75">
      <c r="A10" s="218" t="s">
        <v>118</v>
      </c>
      <c r="B10" s="219">
        <v>60</v>
      </c>
      <c r="C10" s="220">
        <v>41</v>
      </c>
      <c r="D10" s="220">
        <v>4</v>
      </c>
      <c r="E10" s="220">
        <v>21.5</v>
      </c>
      <c r="F10" s="220">
        <v>8</v>
      </c>
      <c r="G10" s="220">
        <v>0.8</v>
      </c>
      <c r="H10" s="220">
        <v>2</v>
      </c>
      <c r="I10" s="220">
        <v>4</v>
      </c>
      <c r="J10" s="220">
        <v>11</v>
      </c>
      <c r="K10" s="220">
        <v>34.4</v>
      </c>
      <c r="L10" s="220">
        <v>4</v>
      </c>
      <c r="M10" s="220">
        <v>26</v>
      </c>
      <c r="N10" s="220">
        <v>15</v>
      </c>
      <c r="O10" s="221" t="s">
        <v>107</v>
      </c>
      <c r="P10" s="220">
        <v>4.5</v>
      </c>
      <c r="Q10" s="222" t="s">
        <v>119</v>
      </c>
      <c r="R10" s="223" t="s">
        <v>120</v>
      </c>
      <c r="S10" s="224" t="s">
        <v>121</v>
      </c>
    </row>
    <row r="11" spans="1:19" ht="12.75">
      <c r="A11" s="218" t="s">
        <v>122</v>
      </c>
      <c r="B11" s="225">
        <v>60</v>
      </c>
      <c r="C11" s="226">
        <v>40</v>
      </c>
      <c r="D11" s="226">
        <v>5</v>
      </c>
      <c r="E11" s="226">
        <v>27.3</v>
      </c>
      <c r="F11" s="226">
        <v>10</v>
      </c>
      <c r="G11" s="226">
        <v>1</v>
      </c>
      <c r="H11" s="226">
        <v>2.5</v>
      </c>
      <c r="I11" s="226">
        <v>6</v>
      </c>
      <c r="J11" s="226">
        <v>15</v>
      </c>
      <c r="K11" s="226">
        <v>42</v>
      </c>
      <c r="L11" s="226">
        <v>5</v>
      </c>
      <c r="M11" s="226">
        <v>32.4</v>
      </c>
      <c r="N11" s="226">
        <v>18</v>
      </c>
      <c r="O11" s="227" t="s">
        <v>123</v>
      </c>
      <c r="P11" s="226">
        <v>5</v>
      </c>
      <c r="Q11" s="228" t="s">
        <v>124</v>
      </c>
      <c r="R11" s="229" t="s">
        <v>125</v>
      </c>
      <c r="S11" s="230" t="s">
        <v>126</v>
      </c>
    </row>
    <row r="12" spans="1:19" ht="12.75">
      <c r="A12" s="218" t="s">
        <v>127</v>
      </c>
      <c r="B12" s="219">
        <v>75</v>
      </c>
      <c r="C12" s="220">
        <v>48</v>
      </c>
      <c r="D12" s="220">
        <v>5</v>
      </c>
      <c r="E12" s="220">
        <v>27.3</v>
      </c>
      <c r="F12" s="220">
        <v>10</v>
      </c>
      <c r="G12" s="220">
        <v>1</v>
      </c>
      <c r="H12" s="220">
        <v>2.5</v>
      </c>
      <c r="I12" s="220">
        <v>6</v>
      </c>
      <c r="J12" s="220">
        <v>15</v>
      </c>
      <c r="K12" s="220">
        <v>42</v>
      </c>
      <c r="L12" s="220">
        <v>5</v>
      </c>
      <c r="M12" s="220">
        <v>32.4</v>
      </c>
      <c r="N12" s="220">
        <v>18</v>
      </c>
      <c r="O12" s="221" t="s">
        <v>123</v>
      </c>
      <c r="P12" s="220">
        <v>5</v>
      </c>
      <c r="Q12" s="222" t="s">
        <v>128</v>
      </c>
      <c r="R12" s="223" t="s">
        <v>129</v>
      </c>
      <c r="S12" s="224" t="s">
        <v>130</v>
      </c>
    </row>
    <row r="13" spans="1:19" ht="12.75">
      <c r="A13" s="218" t="s">
        <v>131</v>
      </c>
      <c r="B13" s="225">
        <v>80</v>
      </c>
      <c r="C13" s="226">
        <v>56</v>
      </c>
      <c r="D13" s="226">
        <v>5</v>
      </c>
      <c r="E13" s="226">
        <v>27.3</v>
      </c>
      <c r="F13" s="226">
        <v>10</v>
      </c>
      <c r="G13" s="226">
        <v>1</v>
      </c>
      <c r="H13" s="226">
        <v>2.5</v>
      </c>
      <c r="I13" s="226">
        <v>6</v>
      </c>
      <c r="J13" s="226">
        <v>15</v>
      </c>
      <c r="K13" s="226">
        <v>42</v>
      </c>
      <c r="L13" s="226">
        <v>5</v>
      </c>
      <c r="M13" s="226">
        <v>32.4</v>
      </c>
      <c r="N13" s="226">
        <v>18</v>
      </c>
      <c r="O13" s="227" t="s">
        <v>123</v>
      </c>
      <c r="P13" s="226">
        <v>5</v>
      </c>
      <c r="Q13" s="228" t="s">
        <v>132</v>
      </c>
      <c r="R13" s="229" t="s">
        <v>133</v>
      </c>
      <c r="S13" s="230" t="s">
        <v>134</v>
      </c>
    </row>
    <row r="14" spans="1:19" ht="12.75">
      <c r="A14" s="218" t="s">
        <v>135</v>
      </c>
      <c r="B14" s="219">
        <v>80</v>
      </c>
      <c r="C14" s="220">
        <v>53.5</v>
      </c>
      <c r="D14" s="220">
        <v>6</v>
      </c>
      <c r="E14" s="220">
        <v>34</v>
      </c>
      <c r="F14" s="220">
        <v>12</v>
      </c>
      <c r="G14" s="220">
        <v>2</v>
      </c>
      <c r="H14" s="220">
        <v>3</v>
      </c>
      <c r="I14" s="220">
        <v>6</v>
      </c>
      <c r="J14" s="220">
        <v>18</v>
      </c>
      <c r="K14" s="220">
        <v>52</v>
      </c>
      <c r="L14" s="220">
        <v>6</v>
      </c>
      <c r="M14" s="220">
        <v>41</v>
      </c>
      <c r="N14" s="220">
        <v>24</v>
      </c>
      <c r="O14" s="221" t="s">
        <v>136</v>
      </c>
      <c r="P14" s="220">
        <v>7.5</v>
      </c>
      <c r="Q14" s="222" t="s">
        <v>137</v>
      </c>
      <c r="R14" s="223" t="s">
        <v>138</v>
      </c>
      <c r="S14" s="224" t="s">
        <v>139</v>
      </c>
    </row>
    <row r="15" spans="1:19" ht="13.5" thickBot="1">
      <c r="A15" s="218" t="s">
        <v>140</v>
      </c>
      <c r="B15" s="225">
        <v>90</v>
      </c>
      <c r="C15" s="226">
        <v>63.5</v>
      </c>
      <c r="D15" s="226">
        <v>6</v>
      </c>
      <c r="E15" s="226">
        <v>34</v>
      </c>
      <c r="F15" s="226">
        <v>12</v>
      </c>
      <c r="G15" s="226">
        <v>2</v>
      </c>
      <c r="H15" s="226">
        <v>3</v>
      </c>
      <c r="I15" s="226">
        <v>6</v>
      </c>
      <c r="J15" s="226">
        <v>18</v>
      </c>
      <c r="K15" s="226">
        <v>52</v>
      </c>
      <c r="L15" s="226">
        <v>6</v>
      </c>
      <c r="M15" s="226">
        <v>41</v>
      </c>
      <c r="N15" s="226">
        <v>24</v>
      </c>
      <c r="O15" s="227" t="s">
        <v>136</v>
      </c>
      <c r="P15" s="226">
        <v>7.5</v>
      </c>
      <c r="Q15" s="228" t="s">
        <v>141</v>
      </c>
      <c r="R15" s="229" t="s">
        <v>142</v>
      </c>
      <c r="S15" s="230" t="s">
        <v>143</v>
      </c>
    </row>
    <row r="16" spans="1:19" ht="12.75">
      <c r="A16" s="2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28"/>
    </row>
    <row r="17" spans="1:19" ht="18.75">
      <c r="A17" s="232" t="s">
        <v>184</v>
      </c>
      <c r="B17" s="233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19"/>
      <c r="N17" s="19"/>
      <c r="O17" s="19"/>
      <c r="P17" s="19"/>
      <c r="Q17" s="19"/>
      <c r="R17" s="19"/>
      <c r="S17" s="33"/>
    </row>
    <row r="18" spans="1:19" ht="18.75">
      <c r="A18" s="234" t="s">
        <v>185</v>
      </c>
      <c r="B18" s="233"/>
      <c r="C18" s="233"/>
      <c r="D18" s="233"/>
      <c r="E18" s="233"/>
      <c r="F18" s="233"/>
      <c r="G18" s="233"/>
      <c r="H18" s="233"/>
      <c r="I18" s="233"/>
      <c r="J18" s="233"/>
      <c r="K18" s="233"/>
      <c r="L18" s="233"/>
      <c r="M18" s="19"/>
      <c r="N18" s="19"/>
      <c r="O18" s="19"/>
      <c r="P18" s="19"/>
      <c r="Q18" s="19"/>
      <c r="R18" s="19"/>
      <c r="S18" s="33"/>
    </row>
    <row r="19" spans="1:19" ht="16.5" thickBot="1">
      <c r="A19" s="235" t="s">
        <v>186</v>
      </c>
      <c r="B19" s="236"/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81"/>
      <c r="N19" s="81"/>
      <c r="O19" s="81"/>
      <c r="P19" s="81"/>
      <c r="Q19" s="81"/>
      <c r="R19" s="81"/>
      <c r="S19" s="29"/>
    </row>
    <row r="20" spans="1:19" ht="15.75">
      <c r="A20" s="23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</sheetData>
  <mergeCells count="1">
    <mergeCell ref="A1:S1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B1">
      <selection activeCell="F19" sqref="F19"/>
    </sheetView>
  </sheetViews>
  <sheetFormatPr defaultColWidth="9.140625" defaultRowHeight="12.75"/>
  <cols>
    <col min="1" max="1" width="19.28125" style="0" customWidth="1"/>
    <col min="2" max="2" width="11.00390625" style="0" bestFit="1" customWidth="1"/>
    <col min="5" max="5" width="12.28125" style="0" bestFit="1" customWidth="1"/>
    <col min="6" max="6" width="12.7109375" style="0" bestFit="1" customWidth="1"/>
  </cols>
  <sheetData>
    <row r="1" s="76" customFormat="1" ht="20.25">
      <c r="A1" s="75" t="s">
        <v>209</v>
      </c>
    </row>
    <row r="2" s="13" customFormat="1" ht="11.25"/>
    <row r="3" ht="12.75">
      <c r="A3" s="80" t="s">
        <v>202</v>
      </c>
    </row>
    <row r="4" ht="12.75">
      <c r="A4" s="80" t="s">
        <v>203</v>
      </c>
    </row>
    <row r="5" ht="13.5" thickBot="1">
      <c r="A5" s="25"/>
    </row>
    <row r="6" spans="1:7" ht="15.75" customHeight="1">
      <c r="A6" s="97" t="s">
        <v>194</v>
      </c>
      <c r="B6" s="98" t="s">
        <v>195</v>
      </c>
      <c r="C6" s="83" t="s">
        <v>196</v>
      </c>
      <c r="D6" s="83" t="s">
        <v>198</v>
      </c>
      <c r="E6" s="83" t="s">
        <v>199</v>
      </c>
      <c r="F6" s="83" t="s">
        <v>200</v>
      </c>
      <c r="G6" s="85" t="s">
        <v>66</v>
      </c>
    </row>
    <row r="7" spans="1:7" ht="12.75">
      <c r="A7" s="99"/>
      <c r="B7" s="2"/>
      <c r="C7" s="3" t="s">
        <v>197</v>
      </c>
      <c r="D7" s="26" t="s">
        <v>5</v>
      </c>
      <c r="E7" s="3" t="s">
        <v>201</v>
      </c>
      <c r="F7" s="3" t="s">
        <v>64</v>
      </c>
      <c r="G7" s="100" t="s">
        <v>5</v>
      </c>
    </row>
    <row r="8" spans="1:7" ht="13.5" thickBot="1">
      <c r="A8" s="101"/>
      <c r="B8" s="102">
        <v>8</v>
      </c>
      <c r="C8" s="103">
        <v>1.26</v>
      </c>
      <c r="D8" s="102">
        <f>0.03</f>
        <v>0.03</v>
      </c>
      <c r="E8" s="102">
        <v>0.15</v>
      </c>
      <c r="F8" s="102">
        <v>2.5</v>
      </c>
      <c r="G8" s="104">
        <f>+B8*D8+0.0178*E8*2/F8</f>
        <v>0.242136</v>
      </c>
    </row>
    <row r="9" ht="13.5" thickBot="1">
      <c r="A9" s="25"/>
    </row>
    <row r="10" spans="1:2" ht="12.75">
      <c r="A10" s="97" t="s">
        <v>67</v>
      </c>
      <c r="B10" s="105" t="s">
        <v>68</v>
      </c>
    </row>
    <row r="11" spans="1:2" ht="13.5" thickBot="1">
      <c r="A11" s="106"/>
      <c r="B11" s="107">
        <v>0.008</v>
      </c>
    </row>
    <row r="12" spans="1:3" ht="13.5" thickBot="1">
      <c r="A12" s="126"/>
      <c r="B12" s="125"/>
      <c r="C12" t="s">
        <v>77</v>
      </c>
    </row>
    <row r="13" spans="1:3" ht="13.5" thickBot="1">
      <c r="A13" s="127" t="s">
        <v>210</v>
      </c>
      <c r="B13" s="131">
        <v>1.1</v>
      </c>
      <c r="C13" t="s">
        <v>76</v>
      </c>
    </row>
    <row r="14" spans="1:3" ht="12.75">
      <c r="A14" s="126"/>
      <c r="B14" s="125"/>
      <c r="C14" t="s">
        <v>211</v>
      </c>
    </row>
    <row r="15" ht="13.5" thickBot="1"/>
    <row r="16" spans="1:8" ht="12.75">
      <c r="A16" s="82" t="s">
        <v>65</v>
      </c>
      <c r="B16" s="83" t="s">
        <v>212</v>
      </c>
      <c r="C16" s="83" t="s">
        <v>197</v>
      </c>
      <c r="D16" s="83" t="s">
        <v>215</v>
      </c>
      <c r="E16" s="83" t="s">
        <v>216</v>
      </c>
      <c r="F16" s="84" t="s">
        <v>217</v>
      </c>
      <c r="G16" s="85" t="s">
        <v>218</v>
      </c>
      <c r="H16" s="1"/>
    </row>
    <row r="17" spans="1:7" ht="12.75">
      <c r="A17" s="86"/>
      <c r="B17" s="27" t="s">
        <v>14</v>
      </c>
      <c r="C17" s="3" t="s">
        <v>214</v>
      </c>
      <c r="D17" s="3"/>
      <c r="E17" s="87"/>
      <c r="F17" s="3"/>
      <c r="G17" s="88" t="s">
        <v>219</v>
      </c>
    </row>
    <row r="18" spans="1:11" ht="12.75">
      <c r="A18" s="86"/>
      <c r="B18" s="27" t="s">
        <v>17</v>
      </c>
      <c r="C18" s="27" t="s">
        <v>1</v>
      </c>
      <c r="D18" s="27" t="s">
        <v>2</v>
      </c>
      <c r="E18" s="27" t="s">
        <v>3</v>
      </c>
      <c r="F18" s="27" t="s">
        <v>4</v>
      </c>
      <c r="G18" s="89" t="s">
        <v>18</v>
      </c>
      <c r="H18" s="240" t="s">
        <v>75</v>
      </c>
      <c r="I18" s="19"/>
      <c r="J18" s="19"/>
      <c r="K18" s="19"/>
    </row>
    <row r="19" spans="1:11" ht="13.5" thickBot="1">
      <c r="A19" s="90" t="s">
        <v>213</v>
      </c>
      <c r="B19" s="91">
        <v>5</v>
      </c>
      <c r="C19" s="92">
        <f>+C8*B8/2+SQRT((C8*B8/2)^2-G8*E19)</f>
        <v>7.495752430519005</v>
      </c>
      <c r="D19" s="93">
        <f>E19/C19</f>
        <v>10.672711077580347</v>
      </c>
      <c r="E19" s="94">
        <v>80</v>
      </c>
      <c r="F19" s="95">
        <f>(E19*0.83/100)^(1/3)*G19</f>
        <v>6265.6783124777285</v>
      </c>
      <c r="G19" s="96">
        <v>7182</v>
      </c>
      <c r="H19" s="241" t="s">
        <v>75</v>
      </c>
      <c r="I19" s="19"/>
      <c r="J19" s="19"/>
      <c r="K19" s="19"/>
    </row>
    <row r="20" ht="13.5" thickBot="1">
      <c r="E20" s="4"/>
    </row>
    <row r="21" spans="1:4" ht="12.75">
      <c r="A21" s="255" t="s">
        <v>221</v>
      </c>
      <c r="B21" s="98"/>
      <c r="C21" s="254" t="s">
        <v>220</v>
      </c>
      <c r="D21" s="253" t="s">
        <v>222</v>
      </c>
    </row>
    <row r="22" spans="1:4" ht="12.75">
      <c r="A22" s="256" t="s">
        <v>223</v>
      </c>
      <c r="B22" s="5" t="s">
        <v>78</v>
      </c>
      <c r="C22" s="129">
        <f>330000*$B$13</f>
        <v>363000.00000000006</v>
      </c>
      <c r="D22" s="129">
        <f>330000*$B$13</f>
        <v>363000.00000000006</v>
      </c>
    </row>
    <row r="23" spans="1:9" ht="12.75">
      <c r="A23" s="256" t="s">
        <v>224</v>
      </c>
      <c r="B23" s="5" t="s">
        <v>5</v>
      </c>
      <c r="C23" s="130">
        <f>C22/$B$19</f>
        <v>72600.00000000001</v>
      </c>
      <c r="D23" s="130">
        <f>D22/$B$19</f>
        <v>72600.00000000001</v>
      </c>
      <c r="F23" s="19"/>
      <c r="G23" s="19"/>
      <c r="H23" s="20"/>
      <c r="I23" s="19"/>
    </row>
    <row r="24" spans="1:10" ht="12.75">
      <c r="A24" s="256" t="s">
        <v>19</v>
      </c>
      <c r="B24" s="5" t="s">
        <v>62</v>
      </c>
      <c r="C24" s="6">
        <f>$C$19-(C28+$B$11)*$D$19</f>
        <v>5.330209255103703</v>
      </c>
      <c r="D24" s="124">
        <f>$C$19-(D28+$B$11)*$D$19</f>
        <v>5.296535171132161</v>
      </c>
      <c r="F24" s="19"/>
      <c r="G24" s="22"/>
      <c r="H24" s="23"/>
      <c r="I24" s="19"/>
      <c r="J24" s="19"/>
    </row>
    <row r="25" spans="1:10" ht="12.75">
      <c r="A25" s="256" t="s">
        <v>225</v>
      </c>
      <c r="B25" s="5" t="s">
        <v>6</v>
      </c>
      <c r="C25" s="6">
        <f>$F$19/C24</f>
        <v>1175.5032518616993</v>
      </c>
      <c r="D25" s="108">
        <f>$F$19/D24</f>
        <v>1182.9768159810799</v>
      </c>
      <c r="F25" s="19"/>
      <c r="G25" s="22"/>
      <c r="H25" s="23"/>
      <c r="I25" s="19"/>
      <c r="J25" s="19"/>
    </row>
    <row r="26" spans="1:10" ht="12.75">
      <c r="A26" s="256" t="s">
        <v>226</v>
      </c>
      <c r="B26" s="5" t="s">
        <v>7</v>
      </c>
      <c r="C26" s="133">
        <f>IF($B$19&gt;5,IF($B$19&gt;10,IF($B$19&gt;15,-5.6,-8.6),-10),-20)/1.2</f>
        <v>-16.666666666666668</v>
      </c>
      <c r="D26" s="133">
        <f>IF($B$19&gt;5,IF($B$19&gt;10,IF($B$19&gt;15,-5.6,-8.6),-10),-20)/1.2</f>
        <v>-16.666666666666668</v>
      </c>
      <c r="F26" s="21"/>
      <c r="G26" s="22"/>
      <c r="H26" s="23"/>
      <c r="I26" s="19"/>
      <c r="J26" s="19"/>
    </row>
    <row r="27" spans="1:9" ht="12.75">
      <c r="A27" s="256" t="s">
        <v>63</v>
      </c>
      <c r="B27" s="5" t="s">
        <v>8</v>
      </c>
      <c r="C27" s="6">
        <f>C25-C26*$D$19</f>
        <v>1353.3817698213718</v>
      </c>
      <c r="D27" s="108">
        <f>D25-D26*$D$19</f>
        <v>1360.8553339407524</v>
      </c>
      <c r="F27" s="21"/>
      <c r="G27" s="22"/>
      <c r="H27" s="23"/>
      <c r="I27" s="19"/>
    </row>
    <row r="28" spans="1:9" ht="12.75">
      <c r="A28" s="256" t="s">
        <v>231</v>
      </c>
      <c r="B28" s="5" t="s">
        <v>9</v>
      </c>
      <c r="C28" s="8">
        <f>C36</f>
        <v>0.19490469400641372</v>
      </c>
      <c r="D28" s="110">
        <f>D36</f>
        <v>0.19805985146610341</v>
      </c>
      <c r="F28" s="24"/>
      <c r="G28" s="22"/>
      <c r="H28" s="23"/>
      <c r="I28" s="19"/>
    </row>
    <row r="29" spans="1:9" ht="12.75">
      <c r="A29" s="257" t="s">
        <v>227</v>
      </c>
      <c r="B29" s="5" t="s">
        <v>10</v>
      </c>
      <c r="C29" s="9">
        <f>+C23/C27</f>
        <v>53.643400272476136</v>
      </c>
      <c r="D29" s="111">
        <f>C29/SQRT(3)</f>
        <v>30.971031587560944</v>
      </c>
      <c r="F29" s="21"/>
      <c r="G29" s="22"/>
      <c r="H29" s="23"/>
      <c r="I29" s="19"/>
    </row>
    <row r="30" spans="1:9" ht="13.5">
      <c r="A30" s="257" t="s">
        <v>232</v>
      </c>
      <c r="B30" s="5" t="s">
        <v>11</v>
      </c>
      <c r="C30" s="7">
        <v>9</v>
      </c>
      <c r="D30" s="109">
        <v>9</v>
      </c>
      <c r="F30" s="24"/>
      <c r="G30" s="22"/>
      <c r="H30" s="23"/>
      <c r="I30" s="19"/>
    </row>
    <row r="31" spans="1:9" ht="13.5">
      <c r="A31" s="257" t="s">
        <v>233</v>
      </c>
      <c r="B31" s="5" t="s">
        <v>12</v>
      </c>
      <c r="C31" s="8">
        <f>C30/C29</f>
        <v>0.16777459956463284</v>
      </c>
      <c r="D31" s="110">
        <f>D30/D29</f>
        <v>0.2905941306654673</v>
      </c>
      <c r="F31" s="24"/>
      <c r="G31" s="22"/>
      <c r="H31" s="23"/>
      <c r="I31" s="19"/>
    </row>
    <row r="32" spans="1:9" ht="12.75">
      <c r="A32" s="257" t="s">
        <v>228</v>
      </c>
      <c r="B32" s="10"/>
      <c r="C32" s="7">
        <v>1</v>
      </c>
      <c r="D32" s="109">
        <v>1</v>
      </c>
      <c r="F32" s="19"/>
      <c r="G32" s="19"/>
      <c r="H32" s="19"/>
      <c r="I32" s="19"/>
    </row>
    <row r="33" spans="1:6" ht="12.75">
      <c r="A33" s="257" t="s">
        <v>229</v>
      </c>
      <c r="B33" s="5" t="s">
        <v>13</v>
      </c>
      <c r="C33" s="11">
        <f>SQRT(C31*4/3.14/C32)</f>
        <v>0.462304666362923</v>
      </c>
      <c r="D33" s="112">
        <f>SQRT(D31*4/3.14/D32)</f>
        <v>0.6084271574669152</v>
      </c>
      <c r="F33" s="12"/>
    </row>
    <row r="34" spans="1:4" ht="12.75">
      <c r="A34" s="257" t="s">
        <v>230</v>
      </c>
      <c r="B34" s="5" t="s">
        <v>14</v>
      </c>
      <c r="C34" s="8">
        <f>C29*($B$19*2+15)/1000+0.03</f>
        <v>1.3710850068119034</v>
      </c>
      <c r="D34" s="110">
        <f>D29*($B$19*2+15)/1000+0.03</f>
        <v>0.8042757896890236</v>
      </c>
    </row>
    <row r="35" spans="1:4" ht="12.75">
      <c r="A35" s="257" t="s">
        <v>234</v>
      </c>
      <c r="B35" s="5" t="s">
        <v>15</v>
      </c>
      <c r="C35" s="8">
        <f>C34*0.0178/C31</f>
        <v>0.14546488672649208</v>
      </c>
      <c r="D35" s="110">
        <f>D34*0.0178/D31</f>
        <v>0.049264962866525895</v>
      </c>
    </row>
    <row r="36" spans="1:4" ht="12.75">
      <c r="A36" s="257" t="s">
        <v>235</v>
      </c>
      <c r="B36" s="5" t="s">
        <v>9</v>
      </c>
      <c r="C36" s="8">
        <f>1.333*C35+0.001</f>
        <v>0.19490469400641394</v>
      </c>
      <c r="D36" s="110">
        <f>4*D35+0.001</f>
        <v>0.19805985146610358</v>
      </c>
    </row>
    <row r="37" spans="1:11" ht="14.25" thickBot="1">
      <c r="A37" s="258" t="s">
        <v>236</v>
      </c>
      <c r="B37" s="113" t="s">
        <v>16</v>
      </c>
      <c r="C37" s="114">
        <f>$D$19/3/C31</f>
        <v>21.20446341952343</v>
      </c>
      <c r="D37" s="115">
        <f>$D$19/3/D31*2</f>
        <v>24.484805326566853</v>
      </c>
      <c r="E37" s="19"/>
      <c r="F37" s="19"/>
      <c r="G37" s="19"/>
      <c r="H37" s="19"/>
      <c r="I37" s="19"/>
      <c r="J37" s="19"/>
      <c r="K37" s="19"/>
    </row>
    <row r="38" spans="5:11" ht="12.75">
      <c r="E38" s="19"/>
      <c r="F38" s="19"/>
      <c r="G38" s="19"/>
      <c r="H38" s="19"/>
      <c r="I38" s="19"/>
      <c r="J38" s="19"/>
      <c r="K38" s="19"/>
    </row>
  </sheetData>
  <printOptions/>
  <pageMargins left="0.75" right="0.75" top="1" bottom="1" header="0.5" footer="0.5"/>
  <pageSetup horizontalDpi="1200" verticalDpi="1200" orientation="landscape" paperSize="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19" sqref="A19"/>
    </sheetView>
  </sheetViews>
  <sheetFormatPr defaultColWidth="9.140625" defaultRowHeight="12.75"/>
  <cols>
    <col min="1" max="1" width="19.28125" style="0" customWidth="1"/>
    <col min="2" max="2" width="11.00390625" style="0" bestFit="1" customWidth="1"/>
    <col min="5" max="5" width="12.28125" style="0" bestFit="1" customWidth="1"/>
    <col min="6" max="6" width="12.7109375" style="0" bestFit="1" customWidth="1"/>
  </cols>
  <sheetData>
    <row r="1" s="76" customFormat="1" ht="20.25">
      <c r="A1" s="75" t="s">
        <v>208</v>
      </c>
    </row>
    <row r="2" s="13" customFormat="1" ht="11.25"/>
    <row r="3" ht="12.75">
      <c r="A3" s="80" t="s">
        <v>202</v>
      </c>
    </row>
    <row r="4" ht="12.75">
      <c r="A4" s="80" t="s">
        <v>203</v>
      </c>
    </row>
    <row r="5" ht="13.5" thickBot="1">
      <c r="A5" s="25"/>
    </row>
    <row r="6" spans="1:7" ht="15.75" customHeight="1">
      <c r="A6" s="97" t="s">
        <v>194</v>
      </c>
      <c r="B6" s="98" t="s">
        <v>195</v>
      </c>
      <c r="C6" s="83" t="s">
        <v>196</v>
      </c>
      <c r="D6" s="83" t="s">
        <v>198</v>
      </c>
      <c r="E6" s="83" t="s">
        <v>199</v>
      </c>
      <c r="F6" s="83" t="s">
        <v>200</v>
      </c>
      <c r="G6" s="85" t="s">
        <v>66</v>
      </c>
    </row>
    <row r="7" spans="1:7" ht="12.75">
      <c r="A7" s="99"/>
      <c r="B7" s="2"/>
      <c r="C7" s="3" t="s">
        <v>197</v>
      </c>
      <c r="D7" s="26" t="s">
        <v>5</v>
      </c>
      <c r="E7" s="3" t="s">
        <v>201</v>
      </c>
      <c r="F7" s="3" t="s">
        <v>64</v>
      </c>
      <c r="G7" s="100" t="s">
        <v>5</v>
      </c>
    </row>
    <row r="8" spans="1:7" ht="13.5" thickBot="1">
      <c r="A8" s="101"/>
      <c r="B8" s="102">
        <v>8</v>
      </c>
      <c r="C8" s="103">
        <v>1.26</v>
      </c>
      <c r="D8" s="102">
        <v>0.03</v>
      </c>
      <c r="E8" s="102">
        <v>0.15</v>
      </c>
      <c r="F8" s="102">
        <v>2.5</v>
      </c>
      <c r="G8" s="104">
        <f>+B8*D8+0.0178*E8*2/F8</f>
        <v>0.242136</v>
      </c>
    </row>
    <row r="9" ht="13.5" thickBot="1">
      <c r="A9" s="25"/>
    </row>
    <row r="10" spans="1:2" ht="12.75">
      <c r="A10" s="97" t="s">
        <v>67</v>
      </c>
      <c r="B10" s="105" t="s">
        <v>68</v>
      </c>
    </row>
    <row r="11" spans="1:2" ht="13.5" thickBot="1">
      <c r="A11" s="106"/>
      <c r="B11" s="107">
        <v>0.008</v>
      </c>
    </row>
    <row r="12" spans="1:3" ht="13.5" thickBot="1">
      <c r="A12" s="126"/>
      <c r="B12" s="125"/>
      <c r="C12" t="s">
        <v>77</v>
      </c>
    </row>
    <row r="13" spans="1:3" ht="13.5" thickBot="1">
      <c r="A13" s="127" t="s">
        <v>210</v>
      </c>
      <c r="B13" s="131">
        <v>1.1</v>
      </c>
      <c r="C13" t="s">
        <v>76</v>
      </c>
    </row>
    <row r="14" spans="1:3" ht="12.75">
      <c r="A14" s="126"/>
      <c r="B14" s="125"/>
      <c r="C14" t="s">
        <v>211</v>
      </c>
    </row>
    <row r="15" ht="13.5" thickBot="1"/>
    <row r="16" spans="1:8" ht="12.75">
      <c r="A16" s="82" t="s">
        <v>65</v>
      </c>
      <c r="B16" s="83" t="s">
        <v>212</v>
      </c>
      <c r="C16" s="83" t="s">
        <v>197</v>
      </c>
      <c r="D16" s="83" t="s">
        <v>215</v>
      </c>
      <c r="E16" s="83" t="s">
        <v>216</v>
      </c>
      <c r="F16" s="84" t="s">
        <v>217</v>
      </c>
      <c r="G16" s="85" t="s">
        <v>218</v>
      </c>
      <c r="H16" s="1"/>
    </row>
    <row r="17" spans="1:12" ht="12.75">
      <c r="A17" s="86"/>
      <c r="B17" s="27" t="s">
        <v>14</v>
      </c>
      <c r="C17" s="3" t="s">
        <v>214</v>
      </c>
      <c r="D17" s="3"/>
      <c r="E17" s="87"/>
      <c r="F17" s="3"/>
      <c r="G17" s="88" t="s">
        <v>219</v>
      </c>
      <c r="H17" s="19"/>
      <c r="I17" s="19"/>
      <c r="J17" s="19"/>
      <c r="K17" s="19"/>
      <c r="L17" s="19"/>
    </row>
    <row r="18" spans="1:12" ht="12.75">
      <c r="A18" s="86"/>
      <c r="B18" s="27" t="s">
        <v>17</v>
      </c>
      <c r="C18" s="27" t="s">
        <v>1</v>
      </c>
      <c r="D18" s="27" t="s">
        <v>2</v>
      </c>
      <c r="E18" s="27" t="s">
        <v>3</v>
      </c>
      <c r="F18" s="27" t="s">
        <v>4</v>
      </c>
      <c r="G18" s="89" t="s">
        <v>18</v>
      </c>
      <c r="H18" s="240"/>
      <c r="I18" s="19"/>
      <c r="J18" s="19"/>
      <c r="K18" s="19"/>
      <c r="L18" s="19"/>
    </row>
    <row r="19" spans="1:12" ht="13.5" thickBot="1">
      <c r="A19" s="90" t="s">
        <v>213</v>
      </c>
      <c r="B19" s="91">
        <v>5</v>
      </c>
      <c r="C19" s="92">
        <f>+C8*B8/2+SQRT((C8*B8/2)^2-G8*E19)</f>
        <v>7.495752430519005</v>
      </c>
      <c r="D19" s="93">
        <f>E19/C19</f>
        <v>10.672711077580347</v>
      </c>
      <c r="E19" s="94">
        <v>80</v>
      </c>
      <c r="F19" s="95">
        <f>(E19*0.83/100)^(1/3)*G19</f>
        <v>6265.6783124777285</v>
      </c>
      <c r="G19" s="96">
        <v>7182</v>
      </c>
      <c r="H19" s="241"/>
      <c r="I19" s="19"/>
      <c r="J19" s="19"/>
      <c r="K19" s="19"/>
      <c r="L19" s="19"/>
    </row>
    <row r="20" spans="5:12" ht="13.5" thickBot="1">
      <c r="E20" s="4"/>
      <c r="G20" s="19"/>
      <c r="H20" s="19"/>
      <c r="I20" s="19"/>
      <c r="J20" s="19"/>
      <c r="K20" s="19"/>
      <c r="L20" s="19"/>
    </row>
    <row r="21" spans="1:4" ht="12.75">
      <c r="A21" s="255" t="s">
        <v>221</v>
      </c>
      <c r="B21" s="98"/>
      <c r="C21" s="254" t="s">
        <v>220</v>
      </c>
      <c r="D21" s="253" t="s">
        <v>222</v>
      </c>
    </row>
    <row r="22" spans="1:4" ht="12.75">
      <c r="A22" s="256" t="s">
        <v>223</v>
      </c>
      <c r="B22" s="5" t="s">
        <v>78</v>
      </c>
      <c r="C22" s="129">
        <f>265000*$B$13</f>
        <v>291500</v>
      </c>
      <c r="D22" s="129">
        <f>265000*$B$13</f>
        <v>291500</v>
      </c>
    </row>
    <row r="23" spans="1:9" ht="12.75">
      <c r="A23" s="256" t="s">
        <v>224</v>
      </c>
      <c r="B23" s="5" t="s">
        <v>5</v>
      </c>
      <c r="C23" s="130">
        <f>C22/$B$19</f>
        <v>58300</v>
      </c>
      <c r="D23" s="130">
        <f>D22/$B$19</f>
        <v>58300</v>
      </c>
      <c r="F23" s="19"/>
      <c r="G23" s="19"/>
      <c r="H23" s="20"/>
      <c r="I23" s="19"/>
    </row>
    <row r="24" spans="1:10" ht="12.75">
      <c r="A24" s="256" t="s">
        <v>19</v>
      </c>
      <c r="B24" s="5" t="s">
        <v>62</v>
      </c>
      <c r="C24" s="6">
        <f>$C$19-(C28+$B$11)*$D$19</f>
        <v>5.893917846470722</v>
      </c>
      <c r="D24" s="124">
        <f>$C$19-(D28+$B$11)*$D$19</f>
        <v>5.865312588806162</v>
      </c>
      <c r="F24" s="19"/>
      <c r="G24" s="22"/>
      <c r="H24" s="23"/>
      <c r="I24" s="19"/>
      <c r="J24" s="19"/>
    </row>
    <row r="25" spans="1:10" ht="12.75">
      <c r="A25" s="256" t="s">
        <v>225</v>
      </c>
      <c r="B25" s="5" t="s">
        <v>6</v>
      </c>
      <c r="C25" s="6">
        <f>$F$19/C24</f>
        <v>1063.0752710999554</v>
      </c>
      <c r="D25" s="108">
        <f>$F$19/D24</f>
        <v>1068.2599124274564</v>
      </c>
      <c r="F25" s="19"/>
      <c r="G25" s="22"/>
      <c r="H25" s="23"/>
      <c r="I25" s="19"/>
      <c r="J25" s="19"/>
    </row>
    <row r="26" spans="1:10" ht="12.75">
      <c r="A26" s="256" t="s">
        <v>226</v>
      </c>
      <c r="B26" s="5" t="s">
        <v>7</v>
      </c>
      <c r="C26" s="7">
        <f>IF($B$19&gt;5,IF($B$19&gt;10,IF($B$19&gt;15,-5.6,-8.6),-10),-20)</f>
        <v>-20</v>
      </c>
      <c r="D26" s="7">
        <f>IF($B$19&gt;5,IF($B$19&gt;10,IF($B$19&gt;15,-5.6,-8.6),-10),-20)</f>
        <v>-20</v>
      </c>
      <c r="F26" s="21"/>
      <c r="G26" s="22"/>
      <c r="H26" s="23"/>
      <c r="I26" s="19"/>
      <c r="J26" s="19"/>
    </row>
    <row r="27" spans="1:9" ht="12.75">
      <c r="A27" s="256" t="s">
        <v>63</v>
      </c>
      <c r="B27" s="5" t="s">
        <v>8</v>
      </c>
      <c r="C27" s="6">
        <f>C25-C26*$D$19</f>
        <v>1276.5294926515624</v>
      </c>
      <c r="D27" s="108">
        <f>D25-D26*$D$19</f>
        <v>1281.7141339790633</v>
      </c>
      <c r="F27" s="21"/>
      <c r="G27" s="22"/>
      <c r="H27" s="23"/>
      <c r="I27" s="19"/>
    </row>
    <row r="28" spans="1:9" ht="12.75">
      <c r="A28" s="256" t="s">
        <v>231</v>
      </c>
      <c r="B28" s="5" t="s">
        <v>9</v>
      </c>
      <c r="C28" s="8">
        <f>C36</f>
        <v>0.1420869434583664</v>
      </c>
      <c r="D28" s="110">
        <f>D36</f>
        <v>0.14476716757917574</v>
      </c>
      <c r="F28" s="24"/>
      <c r="G28" s="22"/>
      <c r="H28" s="23"/>
      <c r="I28" s="19"/>
    </row>
    <row r="29" spans="1:9" ht="12.75">
      <c r="A29" s="257" t="s">
        <v>227</v>
      </c>
      <c r="B29" s="5" t="s">
        <v>10</v>
      </c>
      <c r="C29" s="9">
        <f>+C23/C27</f>
        <v>45.67070352515027</v>
      </c>
      <c r="D29" s="111">
        <f>C29/SQRT(3)</f>
        <v>26.3679929743251</v>
      </c>
      <c r="F29" s="21"/>
      <c r="G29" s="22"/>
      <c r="H29" s="23"/>
      <c r="I29" s="19"/>
    </row>
    <row r="30" spans="1:9" ht="13.5">
      <c r="A30" s="257" t="s">
        <v>232</v>
      </c>
      <c r="B30" s="5" t="s">
        <v>11</v>
      </c>
      <c r="C30" s="7">
        <v>9</v>
      </c>
      <c r="D30" s="109">
        <v>9</v>
      </c>
      <c r="F30" s="24"/>
      <c r="G30" s="22"/>
      <c r="H30" s="23"/>
      <c r="I30" s="19"/>
    </row>
    <row r="31" spans="1:9" ht="13.5">
      <c r="A31" s="257" t="s">
        <v>233</v>
      </c>
      <c r="B31" s="5" t="s">
        <v>12</v>
      </c>
      <c r="C31" s="8">
        <f>C30/C29</f>
        <v>0.19706287193591873</v>
      </c>
      <c r="D31" s="110">
        <f>D30/D29</f>
        <v>0.34132290647845026</v>
      </c>
      <c r="F31" s="24"/>
      <c r="G31" s="22"/>
      <c r="H31" s="23"/>
      <c r="I31" s="19"/>
    </row>
    <row r="32" spans="1:9" ht="12.75">
      <c r="A32" s="257" t="s">
        <v>228</v>
      </c>
      <c r="B32" s="10"/>
      <c r="C32" s="7">
        <v>1</v>
      </c>
      <c r="D32" s="109">
        <v>1</v>
      </c>
      <c r="F32" s="19"/>
      <c r="G32" s="19"/>
      <c r="H32" s="19"/>
      <c r="I32" s="19"/>
    </row>
    <row r="33" spans="1:6" ht="12.75">
      <c r="A33" s="257" t="s">
        <v>229</v>
      </c>
      <c r="B33" s="5" t="s">
        <v>13</v>
      </c>
      <c r="C33" s="11">
        <f>SQRT(C31*4/3.14/C32)</f>
        <v>0.5010344355938541</v>
      </c>
      <c r="D33" s="112">
        <f>SQRT(D31*4/3.14/D32)</f>
        <v>0.6593984002793906</v>
      </c>
      <c r="F33" s="12"/>
    </row>
    <row r="34" spans="1:4" ht="12.75">
      <c r="A34" s="257" t="s">
        <v>230</v>
      </c>
      <c r="B34" s="5" t="s">
        <v>14</v>
      </c>
      <c r="C34" s="8">
        <f>C29*($B$19*2+15)/1000+0.03</f>
        <v>1.1717675881287568</v>
      </c>
      <c r="D34" s="110">
        <f>D29*($B$19*2+15)/1000+0.03</f>
        <v>0.6891998243581275</v>
      </c>
    </row>
    <row r="35" spans="1:4" ht="12.75">
      <c r="A35" s="257" t="s">
        <v>234</v>
      </c>
      <c r="B35" s="5" t="s">
        <v>15</v>
      </c>
      <c r="C35" s="8">
        <f>C34*0.0178/C31</f>
        <v>0.10584166801077749</v>
      </c>
      <c r="D35" s="110">
        <f>D34*0.0178/D31</f>
        <v>0.035941791894793934</v>
      </c>
    </row>
    <row r="36" spans="1:4" ht="12.75">
      <c r="A36" s="257" t="s">
        <v>235</v>
      </c>
      <c r="B36" s="5" t="s">
        <v>9</v>
      </c>
      <c r="C36" s="8">
        <f>1.333*C35+0.001</f>
        <v>0.1420869434583664</v>
      </c>
      <c r="D36" s="110">
        <f>4*D35+0.001</f>
        <v>0.14476716757917574</v>
      </c>
    </row>
    <row r="37" spans="1:11" ht="14.25" thickBot="1">
      <c r="A37" s="258" t="s">
        <v>236</v>
      </c>
      <c r="B37" s="113" t="s">
        <v>16</v>
      </c>
      <c r="C37" s="114">
        <f>$D$19/3/C31</f>
        <v>18.052971238287373</v>
      </c>
      <c r="D37" s="115">
        <f>$D$19/3/D31*2</f>
        <v>20.845775608195574</v>
      </c>
      <c r="E37" s="19"/>
      <c r="F37" s="19"/>
      <c r="G37" s="19"/>
      <c r="H37" s="19"/>
      <c r="I37" s="19"/>
      <c r="J37" s="19"/>
      <c r="K37" s="19"/>
    </row>
    <row r="38" spans="5:11" ht="12.75">
      <c r="E38" s="19"/>
      <c r="F38" s="19"/>
      <c r="G38" s="19"/>
      <c r="H38" s="19"/>
      <c r="I38" s="19"/>
      <c r="J38" s="19"/>
      <c r="K38" s="19"/>
    </row>
  </sheetData>
  <printOptions/>
  <pageMargins left="0.75" right="0.75" top="1" bottom="1" header="0.5" footer="0.5"/>
  <pageSetup horizontalDpi="1200" verticalDpi="1200" orientation="landscape" paperSize="8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1">
      <selection activeCell="A19" sqref="A19"/>
    </sheetView>
  </sheetViews>
  <sheetFormatPr defaultColWidth="9.140625" defaultRowHeight="12.75"/>
  <cols>
    <col min="1" max="1" width="19.28125" style="0" customWidth="1"/>
    <col min="2" max="2" width="11.00390625" style="0" bestFit="1" customWidth="1"/>
    <col min="5" max="5" width="12.28125" style="0" bestFit="1" customWidth="1"/>
    <col min="6" max="6" width="12.7109375" style="0" bestFit="1" customWidth="1"/>
  </cols>
  <sheetData>
    <row r="1" s="76" customFormat="1" ht="20.25">
      <c r="A1" s="75" t="s">
        <v>204</v>
      </c>
    </row>
    <row r="2" s="13" customFormat="1" ht="11.25"/>
    <row r="3" ht="12.75">
      <c r="A3" s="80" t="s">
        <v>202</v>
      </c>
    </row>
    <row r="4" ht="12.75">
      <c r="A4" s="80" t="s">
        <v>203</v>
      </c>
    </row>
    <row r="5" ht="13.5" thickBot="1">
      <c r="A5" s="25"/>
    </row>
    <row r="6" spans="1:7" ht="15.75" customHeight="1">
      <c r="A6" s="97" t="s">
        <v>194</v>
      </c>
      <c r="B6" s="98" t="s">
        <v>195</v>
      </c>
      <c r="C6" s="83" t="s">
        <v>196</v>
      </c>
      <c r="D6" s="83" t="s">
        <v>198</v>
      </c>
      <c r="E6" s="83" t="s">
        <v>199</v>
      </c>
      <c r="F6" s="83" t="s">
        <v>200</v>
      </c>
      <c r="G6" s="85" t="s">
        <v>66</v>
      </c>
    </row>
    <row r="7" spans="1:7" ht="12.75">
      <c r="A7" s="99"/>
      <c r="B7" s="2"/>
      <c r="C7" s="3" t="s">
        <v>197</v>
      </c>
      <c r="D7" s="26" t="s">
        <v>5</v>
      </c>
      <c r="E7" s="3" t="s">
        <v>201</v>
      </c>
      <c r="F7" s="3" t="s">
        <v>64</v>
      </c>
      <c r="G7" s="100" t="s">
        <v>5</v>
      </c>
    </row>
    <row r="8" spans="1:7" ht="13.5" thickBot="1">
      <c r="A8" s="101"/>
      <c r="B8" s="102">
        <v>10</v>
      </c>
      <c r="C8" s="103">
        <v>1.26</v>
      </c>
      <c r="D8" s="102">
        <v>0.005</v>
      </c>
      <c r="E8" s="102">
        <v>0.15</v>
      </c>
      <c r="F8" s="102">
        <v>2.5</v>
      </c>
      <c r="G8" s="104">
        <f>+B8*D8+0.0178*E8*2/F8</f>
        <v>0.052136</v>
      </c>
    </row>
    <row r="9" ht="13.5" thickBot="1">
      <c r="A9" s="25"/>
    </row>
    <row r="10" spans="1:2" ht="12.75">
      <c r="A10" s="97" t="s">
        <v>67</v>
      </c>
      <c r="B10" s="105" t="s">
        <v>68</v>
      </c>
    </row>
    <row r="11" spans="1:2" ht="13.5" thickBot="1">
      <c r="A11" s="106"/>
      <c r="B11" s="107">
        <v>0.008</v>
      </c>
    </row>
    <row r="12" spans="1:3" ht="13.5" thickBot="1">
      <c r="A12" s="126"/>
      <c r="B12" s="125"/>
      <c r="C12" t="s">
        <v>77</v>
      </c>
    </row>
    <row r="13" spans="1:3" ht="13.5" thickBot="1">
      <c r="A13" s="127" t="s">
        <v>210</v>
      </c>
      <c r="B13" s="131">
        <v>1.1</v>
      </c>
      <c r="C13" t="s">
        <v>76</v>
      </c>
    </row>
    <row r="14" spans="1:3" ht="12.75">
      <c r="A14" s="126"/>
      <c r="B14" s="125"/>
      <c r="C14" t="s">
        <v>211</v>
      </c>
    </row>
    <row r="15" ht="13.5" thickBot="1"/>
    <row r="16" spans="1:8" ht="12.75">
      <c r="A16" s="82" t="s">
        <v>65</v>
      </c>
      <c r="B16" s="83" t="s">
        <v>212</v>
      </c>
      <c r="C16" s="83" t="s">
        <v>197</v>
      </c>
      <c r="D16" s="83" t="s">
        <v>215</v>
      </c>
      <c r="E16" s="83" t="s">
        <v>216</v>
      </c>
      <c r="F16" s="84" t="s">
        <v>217</v>
      </c>
      <c r="G16" s="85" t="s">
        <v>218</v>
      </c>
      <c r="H16" s="1"/>
    </row>
    <row r="17" spans="1:7" ht="12.75">
      <c r="A17" s="86"/>
      <c r="B17" s="27" t="s">
        <v>14</v>
      </c>
      <c r="C17" s="3" t="s">
        <v>214</v>
      </c>
      <c r="D17" s="3"/>
      <c r="E17" s="87"/>
      <c r="F17" s="3"/>
      <c r="G17" s="88" t="s">
        <v>219</v>
      </c>
    </row>
    <row r="18" spans="1:11" ht="12.75">
      <c r="A18" s="86"/>
      <c r="B18" s="27" t="s">
        <v>17</v>
      </c>
      <c r="C18" s="27" t="s">
        <v>1</v>
      </c>
      <c r="D18" s="27" t="s">
        <v>2</v>
      </c>
      <c r="E18" s="27" t="s">
        <v>3</v>
      </c>
      <c r="F18" s="27" t="s">
        <v>4</v>
      </c>
      <c r="G18" s="89" t="s">
        <v>18</v>
      </c>
      <c r="H18" s="240"/>
      <c r="I18" s="19"/>
      <c r="J18" s="19"/>
      <c r="K18" s="19"/>
    </row>
    <row r="19" spans="1:11" ht="13.5" thickBot="1">
      <c r="A19" s="90" t="s">
        <v>246</v>
      </c>
      <c r="B19" s="91">
        <v>20</v>
      </c>
      <c r="C19" s="92">
        <f>+C8*B8/2+SQRT((C8*B8/2)^2-G8*E19)</f>
        <v>10.64</v>
      </c>
      <c r="D19" s="93">
        <f>E19/C19</f>
        <v>37.59398496240601</v>
      </c>
      <c r="E19" s="94">
        <v>400</v>
      </c>
      <c r="F19" s="95">
        <f>(E19*0.83/100)^(1/3)*G19</f>
        <v>6414.770896266811</v>
      </c>
      <c r="G19" s="96">
        <v>4300</v>
      </c>
      <c r="H19" s="241"/>
      <c r="I19" s="19"/>
      <c r="J19" s="19"/>
      <c r="K19" s="19"/>
    </row>
    <row r="20" ht="13.5" thickBot="1">
      <c r="E20" s="4"/>
    </row>
    <row r="21" spans="1:4" ht="12.75">
      <c r="A21" s="255" t="s">
        <v>221</v>
      </c>
      <c r="B21" s="98"/>
      <c r="C21" s="254" t="s">
        <v>220</v>
      </c>
      <c r="D21" s="253" t="s">
        <v>222</v>
      </c>
    </row>
    <row r="22" spans="1:4" ht="12.75">
      <c r="A22" s="256" t="s">
        <v>223</v>
      </c>
      <c r="B22" s="5" t="s">
        <v>78</v>
      </c>
      <c r="C22" s="129">
        <f>IF($B$19&gt;24,271000*$B$13,236000*$B$13)</f>
        <v>259600.00000000003</v>
      </c>
      <c r="D22" s="129">
        <f>IF($B$19&gt;24,271000*$B$13,236000*$B$13)</f>
        <v>259600.00000000003</v>
      </c>
    </row>
    <row r="23" spans="1:9" ht="12.75">
      <c r="A23" s="256" t="s">
        <v>224</v>
      </c>
      <c r="B23" s="5" t="s">
        <v>5</v>
      </c>
      <c r="C23" s="130">
        <f>C22/$B$19</f>
        <v>12980.000000000002</v>
      </c>
      <c r="D23" s="130">
        <f>D22/$B$19</f>
        <v>12980.000000000002</v>
      </c>
      <c r="F23" s="19"/>
      <c r="G23" s="19"/>
      <c r="H23" s="20"/>
      <c r="I23" s="19"/>
    </row>
    <row r="24" spans="1:10" ht="12.75">
      <c r="A24" s="256" t="s">
        <v>19</v>
      </c>
      <c r="B24" s="5" t="s">
        <v>62</v>
      </c>
      <c r="C24" s="6">
        <f>$C$19-(C28+$B$11)*$D$19</f>
        <v>9.370831454138223</v>
      </c>
      <c r="D24" s="124">
        <f>$C$19-(D28+$B$11)*$D$19</f>
        <v>9.348166258972716</v>
      </c>
      <c r="F24" s="19"/>
      <c r="G24" s="22"/>
      <c r="H24" s="23"/>
      <c r="I24" s="19"/>
      <c r="J24" s="19"/>
    </row>
    <row r="25" spans="1:10" ht="12.75">
      <c r="A25" s="256" t="s">
        <v>225</v>
      </c>
      <c r="B25" s="5" t="s">
        <v>6</v>
      </c>
      <c r="C25" s="6">
        <f>$F$19/C24</f>
        <v>684.5466090881407</v>
      </c>
      <c r="D25" s="108">
        <f>$F$19/D24</f>
        <v>686.2063337940397</v>
      </c>
      <c r="F25" s="19"/>
      <c r="G25" s="22"/>
      <c r="H25" s="23"/>
      <c r="I25" s="19"/>
      <c r="J25" s="19"/>
    </row>
    <row r="26" spans="1:10" ht="12.75">
      <c r="A26" s="256" t="s">
        <v>226</v>
      </c>
      <c r="B26" s="5" t="s">
        <v>7</v>
      </c>
      <c r="C26" s="133">
        <f>-80/$B$19/1.2</f>
        <v>-3.3333333333333335</v>
      </c>
      <c r="D26" s="133">
        <f>-80/$B$19/1.2</f>
        <v>-3.3333333333333335</v>
      </c>
      <c r="F26" s="21"/>
      <c r="G26" s="22"/>
      <c r="H26" s="23"/>
      <c r="I26" s="19"/>
      <c r="J26" s="19"/>
    </row>
    <row r="27" spans="1:9" ht="12.75">
      <c r="A27" s="256" t="s">
        <v>63</v>
      </c>
      <c r="B27" s="5" t="s">
        <v>8</v>
      </c>
      <c r="C27" s="6">
        <f>C25-C26*$D$19</f>
        <v>809.8598922961608</v>
      </c>
      <c r="D27" s="108">
        <f>D25-D26*$D$19</f>
        <v>811.5196170020597</v>
      </c>
      <c r="F27" s="21"/>
      <c r="G27" s="22"/>
      <c r="H27" s="23"/>
      <c r="I27" s="19"/>
    </row>
    <row r="28" spans="1:9" ht="12.75">
      <c r="A28" s="256" t="s">
        <v>231</v>
      </c>
      <c r="B28" s="5" t="s">
        <v>9</v>
      </c>
      <c r="C28" s="8">
        <f>C36</f>
        <v>0.025759883319923304</v>
      </c>
      <c r="D28" s="110">
        <f>D36</f>
        <v>0.026362777511325788</v>
      </c>
      <c r="F28" s="24"/>
      <c r="G28" s="22"/>
      <c r="H28" s="23"/>
      <c r="I28" s="19"/>
    </row>
    <row r="29" spans="1:9" ht="12.75">
      <c r="A29" s="257" t="s">
        <v>227</v>
      </c>
      <c r="B29" s="5" t="s">
        <v>10</v>
      </c>
      <c r="C29" s="9">
        <f>+C23/C27</f>
        <v>16.02746366806531</v>
      </c>
      <c r="D29" s="111">
        <f>C29/SQRT(3)</f>
        <v>9.253460463184453</v>
      </c>
      <c r="F29" s="21"/>
      <c r="G29" s="22"/>
      <c r="H29" s="23"/>
      <c r="I29" s="19"/>
    </row>
    <row r="30" spans="1:9" ht="13.5">
      <c r="A30" s="257" t="s">
        <v>232</v>
      </c>
      <c r="B30" s="5" t="s">
        <v>11</v>
      </c>
      <c r="C30" s="7">
        <v>14</v>
      </c>
      <c r="D30" s="109">
        <v>14</v>
      </c>
      <c r="F30" s="24"/>
      <c r="G30" s="22"/>
      <c r="H30" s="23"/>
      <c r="I30" s="19"/>
    </row>
    <row r="31" spans="1:9" ht="13.5">
      <c r="A31" s="257" t="s">
        <v>233</v>
      </c>
      <c r="B31" s="5" t="s">
        <v>12</v>
      </c>
      <c r="C31" s="8">
        <f>C30/C29</f>
        <v>0.8735006542485555</v>
      </c>
      <c r="D31" s="110">
        <f>D30/D29</f>
        <v>1.5129475136031532</v>
      </c>
      <c r="F31" s="24"/>
      <c r="G31" s="22"/>
      <c r="H31" s="23"/>
      <c r="I31" s="19"/>
    </row>
    <row r="32" spans="1:9" ht="12.75">
      <c r="A32" s="257" t="s">
        <v>228</v>
      </c>
      <c r="B32" s="10"/>
      <c r="C32" s="7">
        <v>1</v>
      </c>
      <c r="D32" s="109">
        <v>1</v>
      </c>
      <c r="F32" s="19"/>
      <c r="G32" s="19"/>
      <c r="H32" s="19"/>
      <c r="I32" s="19"/>
    </row>
    <row r="33" spans="1:6" ht="12.75">
      <c r="A33" s="257" t="s">
        <v>229</v>
      </c>
      <c r="B33" s="5" t="s">
        <v>13</v>
      </c>
      <c r="C33" s="11">
        <f>SQRT(C31*4/3.14/C32)</f>
        <v>1.0548647718740232</v>
      </c>
      <c r="D33" s="112">
        <f>SQRT(D31*4/3.14/D32)</f>
        <v>1.3882801134424612</v>
      </c>
      <c r="F33" s="12"/>
    </row>
    <row r="34" spans="1:4" ht="12.75">
      <c r="A34" s="257" t="s">
        <v>230</v>
      </c>
      <c r="B34" s="5" t="s">
        <v>14</v>
      </c>
      <c r="C34" s="8">
        <f>C29*($B$19*2+15)/1000+0.03</f>
        <v>0.9115105017435919</v>
      </c>
      <c r="D34" s="110">
        <f>D29*($B$19*2+15)/1000+0.03</f>
        <v>0.5389403254751449</v>
      </c>
    </row>
    <row r="35" spans="1:4" ht="12.75">
      <c r="A35" s="257" t="s">
        <v>234</v>
      </c>
      <c r="B35" s="5" t="s">
        <v>15</v>
      </c>
      <c r="C35" s="8">
        <f>C34*0.0178/C31</f>
        <v>0.018574556128974722</v>
      </c>
      <c r="D35" s="110">
        <f>D34*0.0178/D31</f>
        <v>0.006340694377831447</v>
      </c>
    </row>
    <row r="36" spans="1:4" ht="12.75">
      <c r="A36" s="257" t="s">
        <v>235</v>
      </c>
      <c r="B36" s="5" t="s">
        <v>9</v>
      </c>
      <c r="C36" s="8">
        <f>1.333*C35+0.001</f>
        <v>0.025759883319923304</v>
      </c>
      <c r="D36" s="110">
        <f>4*D35+0.001</f>
        <v>0.026362777511325788</v>
      </c>
    </row>
    <row r="37" spans="1:11" ht="14.25" thickBot="1">
      <c r="A37" s="258" t="s">
        <v>236</v>
      </c>
      <c r="B37" s="113" t="s">
        <v>16</v>
      </c>
      <c r="C37" s="114">
        <f>$D$19/3/C31</f>
        <v>14.346100669589426</v>
      </c>
      <c r="D37" s="115">
        <f>$D$19/3/D31*2</f>
        <v>16.56545016681785</v>
      </c>
      <c r="E37" s="19"/>
      <c r="F37" s="19"/>
      <c r="G37" s="19"/>
      <c r="H37" s="19"/>
      <c r="I37" s="19"/>
      <c r="J37" s="19"/>
      <c r="K37" s="19"/>
    </row>
    <row r="38" spans="5:11" ht="12.75">
      <c r="E38" s="19"/>
      <c r="F38" s="19"/>
      <c r="G38" s="19"/>
      <c r="H38" s="19"/>
      <c r="I38" s="19"/>
      <c r="J38" s="19"/>
      <c r="K38" s="19"/>
    </row>
  </sheetData>
  <printOptions/>
  <pageMargins left="0.75" right="0.75" top="1" bottom="1" header="0.5" footer="0.5"/>
  <pageSetup horizontalDpi="1200" verticalDpi="1200" orientation="landscape" paperSize="8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B19" sqref="B19"/>
    </sheetView>
  </sheetViews>
  <sheetFormatPr defaultColWidth="9.140625" defaultRowHeight="12.75"/>
  <cols>
    <col min="1" max="1" width="19.28125" style="0" customWidth="1"/>
    <col min="2" max="2" width="11.00390625" style="0" bestFit="1" customWidth="1"/>
    <col min="5" max="5" width="12.28125" style="0" bestFit="1" customWidth="1"/>
    <col min="6" max="6" width="12.7109375" style="0" bestFit="1" customWidth="1"/>
  </cols>
  <sheetData>
    <row r="1" s="76" customFormat="1" ht="20.25">
      <c r="A1" s="75" t="s">
        <v>205</v>
      </c>
    </row>
    <row r="2" s="13" customFormat="1" ht="11.25"/>
    <row r="3" ht="12.75">
      <c r="A3" s="80" t="s">
        <v>202</v>
      </c>
    </row>
    <row r="4" ht="12.75">
      <c r="A4" s="80" t="s">
        <v>203</v>
      </c>
    </row>
    <row r="5" ht="13.5" thickBot="1">
      <c r="A5" s="25"/>
    </row>
    <row r="6" spans="1:7" ht="15.75" customHeight="1">
      <c r="A6" s="97" t="s">
        <v>194</v>
      </c>
      <c r="B6" s="98" t="s">
        <v>195</v>
      </c>
      <c r="C6" s="83" t="s">
        <v>196</v>
      </c>
      <c r="D6" s="83" t="s">
        <v>198</v>
      </c>
      <c r="E6" s="83" t="s">
        <v>199</v>
      </c>
      <c r="F6" s="83" t="s">
        <v>200</v>
      </c>
      <c r="G6" s="85" t="s">
        <v>66</v>
      </c>
    </row>
    <row r="7" spans="1:7" ht="12.75">
      <c r="A7" s="99"/>
      <c r="B7" s="2"/>
      <c r="C7" s="3" t="s">
        <v>197</v>
      </c>
      <c r="D7" s="26" t="s">
        <v>5</v>
      </c>
      <c r="E7" s="3" t="s">
        <v>201</v>
      </c>
      <c r="F7" s="3" t="s">
        <v>64</v>
      </c>
      <c r="G7" s="100" t="s">
        <v>5</v>
      </c>
    </row>
    <row r="8" spans="1:7" ht="13.5" thickBot="1">
      <c r="A8" s="101"/>
      <c r="B8" s="102">
        <v>10</v>
      </c>
      <c r="C8" s="103">
        <v>1.26</v>
      </c>
      <c r="D8" s="102">
        <v>0.005</v>
      </c>
      <c r="E8" s="102">
        <v>0.15</v>
      </c>
      <c r="F8" s="102">
        <v>2.5</v>
      </c>
      <c r="G8" s="104">
        <f>+B8*D8+0.0178*E8*2/F8</f>
        <v>0.052136</v>
      </c>
    </row>
    <row r="9" ht="13.5" thickBot="1">
      <c r="A9" s="25"/>
    </row>
    <row r="10" spans="1:2" ht="12.75">
      <c r="A10" s="97" t="s">
        <v>67</v>
      </c>
      <c r="B10" s="105" t="s">
        <v>68</v>
      </c>
    </row>
    <row r="11" spans="1:2" ht="13.5" thickBot="1">
      <c r="A11" s="106"/>
      <c r="B11" s="107">
        <v>0.008</v>
      </c>
    </row>
    <row r="12" spans="1:3" ht="13.5" thickBot="1">
      <c r="A12" s="126"/>
      <c r="B12" s="125"/>
      <c r="C12" t="s">
        <v>77</v>
      </c>
    </row>
    <row r="13" spans="1:3" ht="13.5" thickBot="1">
      <c r="A13" s="127" t="s">
        <v>210</v>
      </c>
      <c r="B13" s="131">
        <v>1.1</v>
      </c>
      <c r="C13" t="s">
        <v>76</v>
      </c>
    </row>
    <row r="14" spans="1:3" ht="12.75">
      <c r="A14" s="126"/>
      <c r="B14" s="125"/>
      <c r="C14" t="s">
        <v>211</v>
      </c>
    </row>
    <row r="15" ht="13.5" thickBot="1"/>
    <row r="16" spans="1:8" ht="12.75">
      <c r="A16" s="82" t="s">
        <v>65</v>
      </c>
      <c r="B16" s="83" t="s">
        <v>212</v>
      </c>
      <c r="C16" s="83" t="s">
        <v>197</v>
      </c>
      <c r="D16" s="83" t="s">
        <v>215</v>
      </c>
      <c r="E16" s="83" t="s">
        <v>216</v>
      </c>
      <c r="F16" s="84" t="s">
        <v>217</v>
      </c>
      <c r="G16" s="85" t="s">
        <v>218</v>
      </c>
      <c r="H16" s="1"/>
    </row>
    <row r="17" spans="1:7" ht="12.75">
      <c r="A17" s="86"/>
      <c r="B17" s="27" t="s">
        <v>14</v>
      </c>
      <c r="C17" s="3" t="s">
        <v>214</v>
      </c>
      <c r="D17" s="3"/>
      <c r="E17" s="87"/>
      <c r="F17" s="3"/>
      <c r="G17" s="88" t="s">
        <v>219</v>
      </c>
    </row>
    <row r="18" spans="1:12" ht="12.75">
      <c r="A18" s="86"/>
      <c r="B18" s="27" t="s">
        <v>17</v>
      </c>
      <c r="C18" s="27" t="s">
        <v>1</v>
      </c>
      <c r="D18" s="27" t="s">
        <v>2</v>
      </c>
      <c r="E18" s="27" t="s">
        <v>3</v>
      </c>
      <c r="F18" s="27" t="s">
        <v>4</v>
      </c>
      <c r="G18" s="89" t="s">
        <v>18</v>
      </c>
      <c r="H18" s="240"/>
      <c r="I18" s="19"/>
      <c r="J18" s="19"/>
      <c r="K18" s="19"/>
      <c r="L18" s="19"/>
    </row>
    <row r="19" spans="1:12" ht="13.5" thickBot="1">
      <c r="A19" s="90" t="s">
        <v>246</v>
      </c>
      <c r="B19" s="91">
        <v>20</v>
      </c>
      <c r="C19" s="92">
        <f>+C8*B8/2+SQRT((C8*B8/2)^2-G8*E19)</f>
        <v>10.64</v>
      </c>
      <c r="D19" s="93">
        <f>E19/C19</f>
        <v>37.59398496240601</v>
      </c>
      <c r="E19" s="94">
        <v>400</v>
      </c>
      <c r="F19" s="95">
        <f>(E19*0.83/100)^(1/3)*G19</f>
        <v>6116.409459231145</v>
      </c>
      <c r="G19" s="96">
        <v>4100</v>
      </c>
      <c r="H19" s="241"/>
      <c r="I19" s="19"/>
      <c r="J19" s="19"/>
      <c r="K19" s="19"/>
      <c r="L19" s="19"/>
    </row>
    <row r="20" ht="13.5" thickBot="1">
      <c r="E20" s="4"/>
    </row>
    <row r="21" spans="1:4" ht="12.75">
      <c r="A21" s="255" t="s">
        <v>221</v>
      </c>
      <c r="B21" s="98"/>
      <c r="C21" s="254" t="s">
        <v>220</v>
      </c>
      <c r="D21" s="253" t="s">
        <v>222</v>
      </c>
    </row>
    <row r="22" spans="1:4" ht="12.75">
      <c r="A22" s="256" t="s">
        <v>223</v>
      </c>
      <c r="B22" s="5" t="s">
        <v>78</v>
      </c>
      <c r="C22" s="129">
        <f>200000*$B$13</f>
        <v>220000.00000000003</v>
      </c>
      <c r="D22" s="129">
        <f>200000*$B$13</f>
        <v>220000.00000000003</v>
      </c>
    </row>
    <row r="23" spans="1:9" ht="12.75">
      <c r="A23" s="256" t="s">
        <v>224</v>
      </c>
      <c r="B23" s="5" t="s">
        <v>5</v>
      </c>
      <c r="C23" s="130">
        <f>C22/$B$19</f>
        <v>11000.000000000002</v>
      </c>
      <c r="D23" s="130">
        <f>D22/$B$19</f>
        <v>11000.000000000002</v>
      </c>
      <c r="F23" s="19"/>
      <c r="G23" s="19"/>
      <c r="H23" s="20"/>
      <c r="I23" s="19"/>
    </row>
    <row r="24" spans="1:10" ht="12.75">
      <c r="A24" s="256" t="s">
        <v>19</v>
      </c>
      <c r="B24" s="5" t="s">
        <v>62</v>
      </c>
      <c r="C24" s="6">
        <f>$C$19-(C28+$B$11)*$D$19</f>
        <v>9.592146238679842</v>
      </c>
      <c r="D24" s="124">
        <f>$C$19-(D28+$B$11)*$D$19</f>
        <v>9.572431496225404</v>
      </c>
      <c r="F24" s="19"/>
      <c r="G24" s="22"/>
      <c r="H24" s="23"/>
      <c r="I24" s="19"/>
      <c r="J24" s="19"/>
    </row>
    <row r="25" spans="1:10" ht="12.75">
      <c r="A25" s="256" t="s">
        <v>225</v>
      </c>
      <c r="B25" s="5" t="s">
        <v>6</v>
      </c>
      <c r="C25" s="6">
        <f>$F$19/C24</f>
        <v>637.6476449626085</v>
      </c>
      <c r="D25" s="108">
        <f>$F$19/D24</f>
        <v>638.96090158942</v>
      </c>
      <c r="F25" s="19"/>
      <c r="G25" s="22"/>
      <c r="H25" s="23"/>
      <c r="I25" s="19"/>
      <c r="J25" s="19"/>
    </row>
    <row r="26" spans="1:10" ht="12.75">
      <c r="A26" s="256" t="s">
        <v>226</v>
      </c>
      <c r="B26" s="5" t="s">
        <v>7</v>
      </c>
      <c r="C26" s="133">
        <f>-80/$B$19</f>
        <v>-4</v>
      </c>
      <c r="D26" s="133">
        <f>-80/$B$19</f>
        <v>-4</v>
      </c>
      <c r="F26" s="21"/>
      <c r="G26" s="22"/>
      <c r="H26" s="23"/>
      <c r="I26" s="19"/>
      <c r="J26" s="19"/>
    </row>
    <row r="27" spans="1:9" ht="12.75">
      <c r="A27" s="256" t="s">
        <v>63</v>
      </c>
      <c r="B27" s="5" t="s">
        <v>8</v>
      </c>
      <c r="C27" s="6">
        <f>C25-C26*$D$19</f>
        <v>788.0235848122326</v>
      </c>
      <c r="D27" s="108">
        <f>D25-D26*$D$19</f>
        <v>789.3368414390441</v>
      </c>
      <c r="F27" s="21"/>
      <c r="G27" s="22"/>
      <c r="H27" s="23"/>
      <c r="I27" s="19"/>
    </row>
    <row r="28" spans="1:9" ht="12.75">
      <c r="A28" s="256" t="s">
        <v>231</v>
      </c>
      <c r="B28" s="5" t="s">
        <v>9</v>
      </c>
      <c r="C28" s="8">
        <f>C36</f>
        <v>0.019872910051116226</v>
      </c>
      <c r="D28" s="110">
        <f>D36</f>
        <v>0.020397322200404265</v>
      </c>
      <c r="F28" s="24"/>
      <c r="G28" s="22"/>
      <c r="H28" s="23"/>
      <c r="I28" s="19"/>
    </row>
    <row r="29" spans="1:9" ht="12.75">
      <c r="A29" s="257" t="s">
        <v>227</v>
      </c>
      <c r="B29" s="5" t="s">
        <v>10</v>
      </c>
      <c r="C29" s="9">
        <f>+C23/C27</f>
        <v>13.958973071372023</v>
      </c>
      <c r="D29" s="111">
        <f>C29/SQRT(3)</f>
        <v>8.059216860367375</v>
      </c>
      <c r="F29" s="21"/>
      <c r="G29" s="22"/>
      <c r="H29" s="23"/>
      <c r="I29" s="19"/>
    </row>
    <row r="30" spans="1:9" ht="13.5">
      <c r="A30" s="257" t="s">
        <v>232</v>
      </c>
      <c r="B30" s="5" t="s">
        <v>11</v>
      </c>
      <c r="C30" s="7">
        <v>14</v>
      </c>
      <c r="D30" s="109">
        <v>14</v>
      </c>
      <c r="F30" s="24"/>
      <c r="G30" s="22"/>
      <c r="H30" s="23"/>
      <c r="I30" s="19"/>
    </row>
    <row r="31" spans="1:9" ht="13.5">
      <c r="A31" s="257" t="s">
        <v>233</v>
      </c>
      <c r="B31" s="5" t="s">
        <v>12</v>
      </c>
      <c r="C31" s="8">
        <f>C30/C29</f>
        <v>1.0029391079428414</v>
      </c>
      <c r="D31" s="110">
        <f>D30/D29</f>
        <v>1.7371414918548076</v>
      </c>
      <c r="F31" s="24"/>
      <c r="G31" s="22"/>
      <c r="H31" s="23"/>
      <c r="I31" s="19"/>
    </row>
    <row r="32" spans="1:9" ht="12.75">
      <c r="A32" s="257" t="s">
        <v>228</v>
      </c>
      <c r="B32" s="10"/>
      <c r="C32" s="7">
        <v>1</v>
      </c>
      <c r="D32" s="109">
        <v>1</v>
      </c>
      <c r="F32" s="19"/>
      <c r="G32" s="19"/>
      <c r="H32" s="19"/>
      <c r="I32" s="19"/>
    </row>
    <row r="33" spans="1:6" ht="12.75">
      <c r="A33" s="257" t="s">
        <v>229</v>
      </c>
      <c r="B33" s="5" t="s">
        <v>13</v>
      </c>
      <c r="C33" s="11">
        <f>SQRT(C31*4/3.14/C32)</f>
        <v>1.1303227135954854</v>
      </c>
      <c r="D33" s="112">
        <f>SQRT(D31*4/3.14/D32)</f>
        <v>1.4875883496129612</v>
      </c>
      <c r="F33" s="12"/>
    </row>
    <row r="34" spans="1:4" ht="12.75">
      <c r="A34" s="257" t="s">
        <v>230</v>
      </c>
      <c r="B34" s="5" t="s">
        <v>14</v>
      </c>
      <c r="C34" s="8">
        <f>C29*($B$19*2+15)/1000+0.03</f>
        <v>0.7977435189254614</v>
      </c>
      <c r="D34" s="110">
        <f>D29*($B$19*2+15)/1000+0.03</f>
        <v>0.47325692732020563</v>
      </c>
    </row>
    <row r="35" spans="1:4" ht="12.75">
      <c r="A35" s="257" t="s">
        <v>234</v>
      </c>
      <c r="B35" s="5" t="s">
        <v>15</v>
      </c>
      <c r="C35" s="8">
        <f>C34*0.0178/C31</f>
        <v>0.014158222093860634</v>
      </c>
      <c r="D35" s="110">
        <f>D34*0.0178/D31</f>
        <v>0.004849330550101066</v>
      </c>
    </row>
    <row r="36" spans="1:4" ht="12.75">
      <c r="A36" s="257" t="s">
        <v>235</v>
      </c>
      <c r="B36" s="5" t="s">
        <v>9</v>
      </c>
      <c r="C36" s="8">
        <f>1.333*C35+0.001</f>
        <v>0.019872910051116226</v>
      </c>
      <c r="D36" s="110">
        <f>4*D35+0.001</f>
        <v>0.020397322200404265</v>
      </c>
    </row>
    <row r="37" spans="1:11" ht="14.25" thickBot="1">
      <c r="A37" s="258" t="s">
        <v>236</v>
      </c>
      <c r="B37" s="113" t="s">
        <v>16</v>
      </c>
      <c r="C37" s="114">
        <f>$D$19/3/C31</f>
        <v>12.494605327042626</v>
      </c>
      <c r="D37" s="115">
        <f>$D$19/3/D31*2</f>
        <v>14.427527497972385</v>
      </c>
      <c r="E37" s="19"/>
      <c r="F37" s="19"/>
      <c r="G37" s="19"/>
      <c r="H37" s="19"/>
      <c r="I37" s="19"/>
      <c r="J37" s="19"/>
      <c r="K37" s="19"/>
    </row>
    <row r="38" spans="5:11" ht="12.75">
      <c r="E38" s="19"/>
      <c r="F38" s="19"/>
      <c r="G38" s="19"/>
      <c r="H38" s="19"/>
      <c r="I38" s="19"/>
      <c r="J38" s="19"/>
      <c r="K38" s="19"/>
    </row>
  </sheetData>
  <printOptions/>
  <pageMargins left="0.75" right="0.75" top="1" bottom="1" header="0.5" footer="0.5"/>
  <pageSetup horizontalDpi="1200" verticalDpi="1200" orientation="landscape" paperSize="8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2">
      <selection activeCell="C23" sqref="C23"/>
    </sheetView>
  </sheetViews>
  <sheetFormatPr defaultColWidth="9.140625" defaultRowHeight="12.75"/>
  <cols>
    <col min="1" max="1" width="19.28125" style="0" customWidth="1"/>
    <col min="2" max="2" width="11.00390625" style="0" bestFit="1" customWidth="1"/>
    <col min="5" max="5" width="12.28125" style="0" bestFit="1" customWidth="1"/>
    <col min="6" max="6" width="12.7109375" style="0" bestFit="1" customWidth="1"/>
  </cols>
  <sheetData>
    <row r="1" s="76" customFormat="1" ht="20.25">
      <c r="A1" s="75" t="s">
        <v>206</v>
      </c>
    </row>
    <row r="2" s="13" customFormat="1" ht="11.25"/>
    <row r="3" ht="12.75">
      <c r="A3" s="80" t="s">
        <v>202</v>
      </c>
    </row>
    <row r="4" ht="12.75">
      <c r="A4" s="80" t="s">
        <v>203</v>
      </c>
    </row>
    <row r="5" ht="13.5" thickBot="1">
      <c r="A5" s="25"/>
    </row>
    <row r="6" spans="1:7" ht="15.75" customHeight="1">
      <c r="A6" s="97" t="s">
        <v>194</v>
      </c>
      <c r="B6" s="98" t="s">
        <v>195</v>
      </c>
      <c r="C6" s="83" t="s">
        <v>196</v>
      </c>
      <c r="D6" s="83" t="s">
        <v>198</v>
      </c>
      <c r="E6" s="83" t="s">
        <v>199</v>
      </c>
      <c r="F6" s="83" t="s">
        <v>200</v>
      </c>
      <c r="G6" s="85" t="s">
        <v>66</v>
      </c>
    </row>
    <row r="7" spans="1:7" ht="12.75">
      <c r="A7" s="99"/>
      <c r="B7" s="2"/>
      <c r="C7" s="3" t="s">
        <v>197</v>
      </c>
      <c r="D7" s="26" t="s">
        <v>5</v>
      </c>
      <c r="E7" s="3" t="s">
        <v>201</v>
      </c>
      <c r="F7" s="3" t="s">
        <v>64</v>
      </c>
      <c r="G7" s="100" t="s">
        <v>5</v>
      </c>
    </row>
    <row r="8" spans="1:7" ht="13.5" thickBot="1">
      <c r="A8" s="101"/>
      <c r="B8" s="102">
        <v>24</v>
      </c>
      <c r="C8" s="103">
        <v>1.26</v>
      </c>
      <c r="D8" s="102">
        <v>0.005</v>
      </c>
      <c r="E8" s="102">
        <v>0.15</v>
      </c>
      <c r="F8" s="102">
        <v>4</v>
      </c>
      <c r="G8" s="104">
        <f>+B8*D8+0.0178*E8*2/F8</f>
        <v>0.121335</v>
      </c>
    </row>
    <row r="9" spans="1:2" ht="13.5" thickBot="1">
      <c r="A9" s="25"/>
      <c r="B9">
        <v>1</v>
      </c>
    </row>
    <row r="10" spans="1:2" ht="12.75">
      <c r="A10" s="97" t="s">
        <v>67</v>
      </c>
      <c r="B10" s="105" t="s">
        <v>68</v>
      </c>
    </row>
    <row r="11" spans="1:2" ht="13.5" thickBot="1">
      <c r="A11" s="106"/>
      <c r="B11" s="107">
        <v>0.004</v>
      </c>
    </row>
    <row r="12" spans="1:3" ht="13.5" thickBot="1">
      <c r="A12" s="126"/>
      <c r="B12" s="125"/>
      <c r="C12" t="s">
        <v>77</v>
      </c>
    </row>
    <row r="13" spans="1:3" ht="13.5" thickBot="1">
      <c r="A13" s="127" t="s">
        <v>210</v>
      </c>
      <c r="B13" s="131">
        <v>1.1</v>
      </c>
      <c r="C13" t="s">
        <v>76</v>
      </c>
    </row>
    <row r="14" spans="1:3" ht="12.75">
      <c r="A14" s="126"/>
      <c r="B14" s="125"/>
      <c r="C14" t="s">
        <v>211</v>
      </c>
    </row>
    <row r="15" ht="13.5" thickBot="1"/>
    <row r="16" spans="1:8" ht="12.75">
      <c r="A16" s="82" t="s">
        <v>65</v>
      </c>
      <c r="B16" s="83" t="s">
        <v>212</v>
      </c>
      <c r="C16" s="83" t="s">
        <v>197</v>
      </c>
      <c r="D16" s="83" t="s">
        <v>215</v>
      </c>
      <c r="E16" s="83" t="s">
        <v>216</v>
      </c>
      <c r="F16" s="84" t="s">
        <v>217</v>
      </c>
      <c r="G16" s="85" t="s">
        <v>218</v>
      </c>
      <c r="H16" s="1"/>
    </row>
    <row r="17" spans="1:7" ht="12.75">
      <c r="A17" s="86"/>
      <c r="B17" s="27" t="s">
        <v>14</v>
      </c>
      <c r="C17" s="3" t="s">
        <v>214</v>
      </c>
      <c r="D17" s="3"/>
      <c r="E17" s="87"/>
      <c r="F17" s="3"/>
      <c r="G17" s="88" t="s">
        <v>219</v>
      </c>
    </row>
    <row r="18" spans="1:11" ht="12.75">
      <c r="A18" s="86"/>
      <c r="B18" s="27" t="s">
        <v>17</v>
      </c>
      <c r="C18" s="27" t="s">
        <v>1</v>
      </c>
      <c r="D18" s="27" t="s">
        <v>2</v>
      </c>
      <c r="E18" s="27" t="s">
        <v>3</v>
      </c>
      <c r="F18" s="27" t="s">
        <v>4</v>
      </c>
      <c r="G18" s="89" t="s">
        <v>18</v>
      </c>
      <c r="H18" s="240"/>
      <c r="I18" s="19"/>
      <c r="J18" s="19"/>
      <c r="K18" s="19"/>
    </row>
    <row r="19" spans="1:11" ht="13.5" thickBot="1">
      <c r="A19" s="90" t="s">
        <v>247</v>
      </c>
      <c r="B19" s="91">
        <v>20</v>
      </c>
      <c r="C19" s="92">
        <f>+C8*B8/2+SQRT((C8*B8/2)^2-G8*E19)</f>
        <v>25.477576936716424</v>
      </c>
      <c r="D19" s="93">
        <f>E19/C19</f>
        <v>39.2502003814528</v>
      </c>
      <c r="E19" s="94">
        <v>1000</v>
      </c>
      <c r="F19" s="95">
        <f>(E19*0.83/100)^(1/3)*G19</f>
        <v>8301.244793222375</v>
      </c>
      <c r="G19" s="96">
        <v>4100</v>
      </c>
      <c r="H19" s="241"/>
      <c r="I19" s="19"/>
      <c r="J19" s="19"/>
      <c r="K19" s="19"/>
    </row>
    <row r="20" ht="13.5" thickBot="1">
      <c r="E20" s="4"/>
    </row>
    <row r="21" spans="1:4" ht="12.75">
      <c r="A21" s="255" t="s">
        <v>221</v>
      </c>
      <c r="B21" s="98"/>
      <c r="C21" s="254" t="s">
        <v>220</v>
      </c>
      <c r="D21" s="253" t="s">
        <v>222</v>
      </c>
    </row>
    <row r="22" spans="1:13" ht="12.75">
      <c r="A22" s="256" t="s">
        <v>223</v>
      </c>
      <c r="B22" s="5" t="s">
        <v>78</v>
      </c>
      <c r="C22" s="129">
        <f>191000*$B$13</f>
        <v>210100.00000000003</v>
      </c>
      <c r="D22" s="129">
        <f>191000*$B$13</f>
        <v>210100.00000000003</v>
      </c>
      <c r="G22" s="134"/>
      <c r="H22" s="134"/>
      <c r="I22" s="134"/>
      <c r="J22" s="135"/>
      <c r="K22" s="134"/>
      <c r="L22" s="134"/>
      <c r="M22" s="134"/>
    </row>
    <row r="23" spans="1:13" ht="12.75">
      <c r="A23" s="256" t="s">
        <v>224</v>
      </c>
      <c r="B23" s="5" t="s">
        <v>5</v>
      </c>
      <c r="C23" s="130">
        <f>C22/$B$19</f>
        <v>10505.000000000002</v>
      </c>
      <c r="D23" s="130">
        <f>D22/$B$19</f>
        <v>10505.000000000002</v>
      </c>
      <c r="F23" s="19"/>
      <c r="G23" s="125"/>
      <c r="H23" s="136"/>
      <c r="I23" s="125"/>
      <c r="J23" s="125"/>
      <c r="K23" s="125"/>
      <c r="L23" s="125"/>
      <c r="M23" s="125"/>
    </row>
    <row r="24" spans="1:13" ht="12.75">
      <c r="A24" s="256" t="s">
        <v>19</v>
      </c>
      <c r="B24" s="5" t="s">
        <v>62</v>
      </c>
      <c r="C24" s="6">
        <f>$C$19-(C28+$B$11)*$D$19</f>
        <v>23.72879628165759</v>
      </c>
      <c r="D24" s="124">
        <f>$C$19-(D28+$B$11)*$D$19</f>
        <v>23.70564876666812</v>
      </c>
      <c r="F24" s="19"/>
      <c r="G24" s="136"/>
      <c r="H24" s="125"/>
      <c r="I24" s="125"/>
      <c r="J24" s="125"/>
      <c r="K24" s="125"/>
      <c r="L24" s="125"/>
      <c r="M24" s="125"/>
    </row>
    <row r="25" spans="1:13" ht="12.75">
      <c r="A25" s="256" t="s">
        <v>225</v>
      </c>
      <c r="B25" s="5" t="s">
        <v>6</v>
      </c>
      <c r="C25" s="6">
        <f>$F$19/C24</f>
        <v>349.83842815656243</v>
      </c>
      <c r="D25" s="108">
        <f>$F$19/D24</f>
        <v>350.18002987096196</v>
      </c>
      <c r="F25" s="19"/>
      <c r="G25" s="136"/>
      <c r="H25" s="137"/>
      <c r="I25" s="125"/>
      <c r="J25" s="125"/>
      <c r="K25" s="125"/>
      <c r="L25" s="125"/>
      <c r="M25" s="125"/>
    </row>
    <row r="26" spans="1:13" ht="12.75">
      <c r="A26" s="256" t="s">
        <v>226</v>
      </c>
      <c r="B26" s="5" t="s">
        <v>7</v>
      </c>
      <c r="C26" s="133">
        <f>-30/$B$19/1.35</f>
        <v>-1.111111111111111</v>
      </c>
      <c r="D26" s="133">
        <f>-30/$B$19/1.35</f>
        <v>-1.111111111111111</v>
      </c>
      <c r="F26" s="21"/>
      <c r="G26" s="136"/>
      <c r="H26" s="137"/>
      <c r="I26" s="125"/>
      <c r="J26" s="138"/>
      <c r="K26" s="139"/>
      <c r="L26" s="140"/>
      <c r="M26" s="134"/>
    </row>
    <row r="27" spans="1:13" ht="12.75">
      <c r="A27" s="256" t="s">
        <v>63</v>
      </c>
      <c r="B27" s="5" t="s">
        <v>8</v>
      </c>
      <c r="C27" s="6">
        <f>C25-C26*$D$19</f>
        <v>393.4497619137322</v>
      </c>
      <c r="D27" s="108">
        <f>D25-D26*$D$19</f>
        <v>393.7913636281317</v>
      </c>
      <c r="F27" s="21"/>
      <c r="G27" s="136"/>
      <c r="H27" s="137"/>
      <c r="I27" s="125"/>
      <c r="J27" s="138"/>
      <c r="K27" s="140"/>
      <c r="L27" s="140"/>
      <c r="M27" s="134"/>
    </row>
    <row r="28" spans="1:13" ht="12.75">
      <c r="A28" s="256" t="s">
        <v>231</v>
      </c>
      <c r="B28" s="5" t="s">
        <v>9</v>
      </c>
      <c r="C28" s="8">
        <f>C36</f>
        <v>0.04055469368470282</v>
      </c>
      <c r="D28" s="110">
        <f>D36</f>
        <v>0.04114443627874084</v>
      </c>
      <c r="F28" s="24"/>
      <c r="G28" s="141"/>
      <c r="H28" s="135"/>
      <c r="I28" s="134"/>
      <c r="J28" s="138"/>
      <c r="K28" s="138"/>
      <c r="L28" s="140"/>
      <c r="M28" s="134"/>
    </row>
    <row r="29" spans="1:13" ht="12.75">
      <c r="A29" s="257" t="s">
        <v>227</v>
      </c>
      <c r="B29" s="5" t="s">
        <v>10</v>
      </c>
      <c r="C29" s="9">
        <f>+C23/C27</f>
        <v>26.699723870473022</v>
      </c>
      <c r="D29" s="111">
        <f>C29/SQRT(3)</f>
        <v>15.415092763906276</v>
      </c>
      <c r="F29" s="21"/>
      <c r="G29" s="141"/>
      <c r="H29" s="135"/>
      <c r="I29" s="134"/>
      <c r="J29" s="140"/>
      <c r="K29" s="140"/>
      <c r="L29" s="140"/>
      <c r="M29" s="134"/>
    </row>
    <row r="30" spans="1:13" ht="13.5">
      <c r="A30" s="257" t="s">
        <v>232</v>
      </c>
      <c r="B30" s="5" t="s">
        <v>11</v>
      </c>
      <c r="C30" s="133">
        <v>24</v>
      </c>
      <c r="D30" s="133">
        <v>24</v>
      </c>
      <c r="F30" s="24"/>
      <c r="G30" s="141"/>
      <c r="H30" s="135"/>
      <c r="I30" s="134"/>
      <c r="J30" s="140"/>
      <c r="K30" s="140"/>
      <c r="L30" s="134"/>
      <c r="M30" s="134"/>
    </row>
    <row r="31" spans="1:9" ht="13.5">
      <c r="A31" s="257" t="s">
        <v>233</v>
      </c>
      <c r="B31" s="5" t="s">
        <v>12</v>
      </c>
      <c r="C31" s="8">
        <f>C30/C29</f>
        <v>0.8988857007072413</v>
      </c>
      <c r="D31" s="110">
        <f>D30/D29</f>
        <v>1.5569157038220935</v>
      </c>
      <c r="F31" s="24"/>
      <c r="G31" s="22"/>
      <c r="H31" s="23"/>
      <c r="I31" s="19"/>
    </row>
    <row r="32" spans="1:9" ht="12.75">
      <c r="A32" s="257" t="s">
        <v>228</v>
      </c>
      <c r="B32" s="10"/>
      <c r="C32" s="7">
        <v>1</v>
      </c>
      <c r="D32" s="109">
        <v>1</v>
      </c>
      <c r="F32" s="19"/>
      <c r="G32" s="19"/>
      <c r="H32" s="19"/>
      <c r="I32" s="19"/>
    </row>
    <row r="33" spans="1:6" ht="12.75">
      <c r="A33" s="257" t="s">
        <v>229</v>
      </c>
      <c r="B33" s="5" t="s">
        <v>13</v>
      </c>
      <c r="C33" s="11">
        <f>SQRT(C31*4/3.14/C32)</f>
        <v>1.0700828592878724</v>
      </c>
      <c r="D33" s="112">
        <f>SQRT(D31*4/3.14/D32)</f>
        <v>1.4083082428146676</v>
      </c>
      <c r="F33" s="12"/>
    </row>
    <row r="34" spans="1:4" ht="12.75">
      <c r="A34" s="257" t="s">
        <v>230</v>
      </c>
      <c r="B34" s="5" t="s">
        <v>14</v>
      </c>
      <c r="C34" s="8">
        <f>C29*($B$19*2+15)/1000+0.03</f>
        <v>1.4984848128760162</v>
      </c>
      <c r="D34" s="110">
        <f>D29*($B$19*2+15)/1000+0.03</f>
        <v>0.8778301020148452</v>
      </c>
    </row>
    <row r="35" spans="1:4" ht="12.75">
      <c r="A35" s="257" t="s">
        <v>234</v>
      </c>
      <c r="B35" s="5" t="s">
        <v>15</v>
      </c>
      <c r="C35" s="8">
        <f>C34*0.0178/C31</f>
        <v>0.02967343862318291</v>
      </c>
      <c r="D35" s="110">
        <f>D34*0.0178/D31</f>
        <v>0.01003610906968521</v>
      </c>
    </row>
    <row r="36" spans="1:4" ht="12.75">
      <c r="A36" s="257" t="s">
        <v>235</v>
      </c>
      <c r="B36" s="5" t="s">
        <v>9</v>
      </c>
      <c r="C36" s="8">
        <f>1.333*C35+0.001</f>
        <v>0.04055469368470282</v>
      </c>
      <c r="D36" s="110">
        <f>4*D35+0.001</f>
        <v>0.04114443627874084</v>
      </c>
    </row>
    <row r="37" spans="1:11" ht="14.25" thickBot="1">
      <c r="A37" s="258" t="s">
        <v>236</v>
      </c>
      <c r="B37" s="113" t="s">
        <v>16</v>
      </c>
      <c r="C37" s="114">
        <f>$D$19/3/C31</f>
        <v>14.555132111743397</v>
      </c>
      <c r="D37" s="115">
        <f>$D$19/3/D31*2</f>
        <v>16.806818885611232</v>
      </c>
      <c r="E37" s="19"/>
      <c r="F37" s="19"/>
      <c r="G37" s="19"/>
      <c r="H37" s="19"/>
      <c r="I37" s="19"/>
      <c r="J37" s="19"/>
      <c r="K37" s="19"/>
    </row>
    <row r="38" spans="5:11" ht="12.75">
      <c r="E38" s="19"/>
      <c r="F38" s="19"/>
      <c r="G38" s="19"/>
      <c r="H38" s="19"/>
      <c r="I38" s="19"/>
      <c r="J38" s="19"/>
      <c r="K38" s="19"/>
    </row>
  </sheetData>
  <printOptions/>
  <pageMargins left="0.75" right="0.75" top="1" bottom="1" header="0.5" footer="0.5"/>
  <pageSetup horizontalDpi="1200" verticalDpi="1200" orientation="landscape" paperSize="8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selection activeCell="A29" sqref="A29"/>
    </sheetView>
  </sheetViews>
  <sheetFormatPr defaultColWidth="9.140625" defaultRowHeight="12.75"/>
  <cols>
    <col min="1" max="1" width="24.57421875" style="0" customWidth="1"/>
    <col min="2" max="2" width="11.00390625" style="0" bestFit="1" customWidth="1"/>
    <col min="5" max="5" width="12.28125" style="0" bestFit="1" customWidth="1"/>
    <col min="6" max="6" width="12.7109375" style="0" bestFit="1" customWidth="1"/>
    <col min="7" max="7" width="9.00390625" style="0" bestFit="1" customWidth="1"/>
  </cols>
  <sheetData>
    <row r="1" s="76" customFormat="1" ht="20.25">
      <c r="A1" s="75" t="s">
        <v>207</v>
      </c>
    </row>
    <row r="2" s="13" customFormat="1" ht="11.25"/>
    <row r="3" ht="12.75">
      <c r="A3" s="80" t="s">
        <v>202</v>
      </c>
    </row>
    <row r="4" ht="12.75">
      <c r="A4" s="80" t="s">
        <v>203</v>
      </c>
    </row>
    <row r="5" ht="13.5" thickBot="1">
      <c r="A5" s="25"/>
    </row>
    <row r="6" spans="1:7" ht="15.75" customHeight="1">
      <c r="A6" s="97" t="s">
        <v>194</v>
      </c>
      <c r="B6" s="98" t="s">
        <v>195</v>
      </c>
      <c r="C6" s="83" t="s">
        <v>196</v>
      </c>
      <c r="D6" s="83" t="s">
        <v>198</v>
      </c>
      <c r="E6" s="83" t="s">
        <v>199</v>
      </c>
      <c r="F6" s="83" t="s">
        <v>200</v>
      </c>
      <c r="G6" s="85" t="s">
        <v>66</v>
      </c>
    </row>
    <row r="7" spans="1:7" ht="12.75">
      <c r="A7" s="99"/>
      <c r="B7" s="2"/>
      <c r="C7" s="3" t="s">
        <v>197</v>
      </c>
      <c r="D7" s="26" t="s">
        <v>5</v>
      </c>
      <c r="E7" s="3" t="s">
        <v>201</v>
      </c>
      <c r="F7" s="3" t="s">
        <v>64</v>
      </c>
      <c r="G7" s="100" t="s">
        <v>5</v>
      </c>
    </row>
    <row r="8" spans="1:7" ht="13.5" thickBot="1">
      <c r="A8" s="101"/>
      <c r="B8" s="102">
        <v>24</v>
      </c>
      <c r="C8" s="103">
        <v>1.26</v>
      </c>
      <c r="D8" s="102">
        <v>0.005</v>
      </c>
      <c r="E8" s="102">
        <v>0.15</v>
      </c>
      <c r="F8" s="102">
        <v>4</v>
      </c>
      <c r="G8" s="104">
        <f>+B8*D8+0.0178*E8*2/F8</f>
        <v>0.121335</v>
      </c>
    </row>
    <row r="9" spans="1:2" ht="13.5" thickBot="1">
      <c r="A9" s="25"/>
      <c r="B9">
        <v>1</v>
      </c>
    </row>
    <row r="10" spans="1:2" ht="12.75">
      <c r="A10" s="97" t="s">
        <v>67</v>
      </c>
      <c r="B10" s="105" t="s">
        <v>68</v>
      </c>
    </row>
    <row r="11" spans="1:2" ht="13.5" thickBot="1">
      <c r="A11" s="106"/>
      <c r="B11" s="107">
        <v>0.004</v>
      </c>
    </row>
    <row r="12" spans="1:3" ht="13.5" thickBot="1">
      <c r="A12" s="126"/>
      <c r="B12" s="125"/>
      <c r="C12" t="s">
        <v>77</v>
      </c>
    </row>
    <row r="13" spans="1:3" ht="13.5" thickBot="1">
      <c r="A13" s="127" t="s">
        <v>210</v>
      </c>
      <c r="B13" s="131">
        <v>1.1</v>
      </c>
      <c r="C13" t="s">
        <v>76</v>
      </c>
    </row>
    <row r="14" spans="1:3" ht="12.75">
      <c r="A14" s="126"/>
      <c r="B14" s="125"/>
      <c r="C14" t="s">
        <v>211</v>
      </c>
    </row>
    <row r="15" ht="13.5" thickBot="1"/>
    <row r="16" spans="1:8" ht="12.75">
      <c r="A16" s="82" t="s">
        <v>65</v>
      </c>
      <c r="B16" s="83" t="s">
        <v>212</v>
      </c>
      <c r="C16" s="83" t="s">
        <v>197</v>
      </c>
      <c r="D16" s="83" t="s">
        <v>215</v>
      </c>
      <c r="E16" s="83" t="s">
        <v>216</v>
      </c>
      <c r="F16" s="84" t="s">
        <v>217</v>
      </c>
      <c r="G16" s="85" t="s">
        <v>218</v>
      </c>
      <c r="H16" s="1"/>
    </row>
    <row r="17" spans="1:7" ht="12.75">
      <c r="A17" s="86"/>
      <c r="B17" s="27" t="s">
        <v>14</v>
      </c>
      <c r="C17" s="3" t="s">
        <v>214</v>
      </c>
      <c r="D17" s="3"/>
      <c r="E17" s="87"/>
      <c r="F17" s="3"/>
      <c r="G17" s="88" t="s">
        <v>219</v>
      </c>
    </row>
    <row r="18" spans="1:11" ht="12.75">
      <c r="A18" s="86"/>
      <c r="B18" s="27" t="s">
        <v>17</v>
      </c>
      <c r="C18" s="27" t="s">
        <v>1</v>
      </c>
      <c r="D18" s="27" t="s">
        <v>2</v>
      </c>
      <c r="E18" s="27" t="s">
        <v>3</v>
      </c>
      <c r="F18" s="27" t="s">
        <v>4</v>
      </c>
      <c r="G18" s="89" t="s">
        <v>18</v>
      </c>
      <c r="H18" s="240"/>
      <c r="I18" s="19"/>
      <c r="J18" s="19"/>
      <c r="K18" s="19"/>
    </row>
    <row r="19" spans="1:11" ht="13.5" thickBot="1">
      <c r="A19" s="90" t="s">
        <v>247</v>
      </c>
      <c r="B19" s="91">
        <v>20</v>
      </c>
      <c r="C19" s="92">
        <f>+C8*B8/2+SQRT((C8*B8/2)^2-G8*E19)</f>
        <v>25.477576936716424</v>
      </c>
      <c r="D19" s="93">
        <f>E19/C19</f>
        <v>39.2502003814528</v>
      </c>
      <c r="E19" s="94">
        <v>1000</v>
      </c>
      <c r="F19" s="95">
        <f>(E19*0.83/100)^(1/3)*G19</f>
        <v>6276.550941216918</v>
      </c>
      <c r="G19" s="96">
        <v>3100</v>
      </c>
      <c r="H19" s="241"/>
      <c r="I19" s="19"/>
      <c r="J19" s="19"/>
      <c r="K19" s="19"/>
    </row>
    <row r="20" ht="13.5" thickBot="1">
      <c r="E20" s="4"/>
    </row>
    <row r="21" spans="1:4" ht="12.75">
      <c r="A21" s="255" t="s">
        <v>221</v>
      </c>
      <c r="B21" s="98"/>
      <c r="C21" s="254" t="s">
        <v>220</v>
      </c>
      <c r="D21" s="253" t="s">
        <v>222</v>
      </c>
    </row>
    <row r="22" spans="1:13" ht="12.75">
      <c r="A22" s="256" t="s">
        <v>223</v>
      </c>
      <c r="B22" s="5" t="s">
        <v>78</v>
      </c>
      <c r="C22" s="129">
        <f>152200*$B$13</f>
        <v>167420</v>
      </c>
      <c r="D22" s="129">
        <f>152200*$B$13</f>
        <v>167420</v>
      </c>
      <c r="G22" s="134"/>
      <c r="H22" s="134"/>
      <c r="I22" s="134"/>
      <c r="J22" s="135"/>
      <c r="K22" s="134"/>
      <c r="L22" s="134"/>
      <c r="M22" s="134"/>
    </row>
    <row r="23" spans="1:13" ht="12.75">
      <c r="A23" s="256" t="s">
        <v>224</v>
      </c>
      <c r="B23" s="5" t="s">
        <v>5</v>
      </c>
      <c r="C23" s="130">
        <f>C22/$B$19</f>
        <v>8371</v>
      </c>
      <c r="D23" s="130">
        <f>D22/$B$19</f>
        <v>8371</v>
      </c>
      <c r="F23" s="19"/>
      <c r="G23" s="125"/>
      <c r="H23" s="136"/>
      <c r="I23" s="125"/>
      <c r="J23" s="125"/>
      <c r="K23" s="125"/>
      <c r="L23" s="125"/>
      <c r="M23" s="125"/>
    </row>
    <row r="24" spans="1:13" ht="12.75">
      <c r="A24" s="256" t="s">
        <v>258</v>
      </c>
      <c r="B24" s="5" t="s">
        <v>62</v>
      </c>
      <c r="C24" s="124">
        <f>$C$19-(C28+$B$11)*$D$19</f>
        <v>23.812766136927277</v>
      </c>
      <c r="D24" s="124">
        <f>$C$19-(D28+$B$11)*$D$19</f>
        <v>23.7902699610813</v>
      </c>
      <c r="F24" s="19"/>
      <c r="G24" s="136"/>
      <c r="H24" s="125"/>
      <c r="I24" s="125"/>
      <c r="J24" s="125"/>
      <c r="K24" s="125"/>
      <c r="L24" s="125"/>
      <c r="M24" s="125"/>
    </row>
    <row r="25" spans="1:13" ht="12.75">
      <c r="A25" s="256" t="s">
        <v>257</v>
      </c>
      <c r="B25" s="5" t="s">
        <v>6</v>
      </c>
      <c r="C25" s="6">
        <f>$F$19/C24</f>
        <v>263.5792459022076</v>
      </c>
      <c r="D25" s="108">
        <f>$F$19/D24</f>
        <v>263.8284875070682</v>
      </c>
      <c r="F25" s="19"/>
      <c r="G25" s="136"/>
      <c r="H25" s="137"/>
      <c r="I25" s="125"/>
      <c r="J25" s="125"/>
      <c r="K25" s="125"/>
      <c r="L25" s="125"/>
      <c r="M25" s="125"/>
    </row>
    <row r="26" spans="1:13" ht="12.75">
      <c r="A26" s="256" t="s">
        <v>226</v>
      </c>
      <c r="B26" s="5" t="s">
        <v>7</v>
      </c>
      <c r="C26" s="7">
        <f>-30/$B$19</f>
        <v>-1.5</v>
      </c>
      <c r="D26" s="7">
        <f>-30/$B$19</f>
        <v>-1.5</v>
      </c>
      <c r="F26" s="21"/>
      <c r="G26" s="136"/>
      <c r="H26" s="137"/>
      <c r="I26" s="125"/>
      <c r="J26" s="138"/>
      <c r="K26" s="139"/>
      <c r="L26" s="140"/>
      <c r="M26" s="134"/>
    </row>
    <row r="27" spans="1:13" ht="12.75">
      <c r="A27" s="256" t="s">
        <v>63</v>
      </c>
      <c r="B27" s="5" t="s">
        <v>8</v>
      </c>
      <c r="C27" s="6">
        <f>C25-C26*$D$19</f>
        <v>322.4545464743868</v>
      </c>
      <c r="D27" s="108">
        <f>D25-D26*$D$19</f>
        <v>322.7037880792474</v>
      </c>
      <c r="F27" s="21"/>
      <c r="G27" s="136"/>
      <c r="H27" s="137"/>
      <c r="I27" s="125"/>
      <c r="J27" s="138"/>
      <c r="K27" s="140"/>
      <c r="L27" s="140"/>
      <c r="M27" s="134"/>
    </row>
    <row r="28" spans="1:13" ht="12.75">
      <c r="A28" s="256" t="s">
        <v>264</v>
      </c>
      <c r="B28" s="5" t="s">
        <v>9</v>
      </c>
      <c r="C28" s="8">
        <f>C36</f>
        <v>0.03841534523670446</v>
      </c>
      <c r="D28" s="110">
        <f>D36</f>
        <v>0.03898849328760222</v>
      </c>
      <c r="F28" s="24"/>
      <c r="G28" s="141"/>
      <c r="H28" s="135"/>
      <c r="I28" s="134"/>
      <c r="J28" s="138"/>
      <c r="K28" s="138"/>
      <c r="L28" s="140"/>
      <c r="M28" s="134"/>
    </row>
    <row r="29" spans="1:13" ht="12.75">
      <c r="A29" s="257" t="s">
        <v>256</v>
      </c>
      <c r="B29" s="5" t="s">
        <v>10</v>
      </c>
      <c r="C29" s="9">
        <f>+C23/C27</f>
        <v>25.960248014877735</v>
      </c>
      <c r="D29" s="111">
        <f>C29/SQRT(3)</f>
        <v>14.988156179619109</v>
      </c>
      <c r="F29" s="21"/>
      <c r="G29" s="141"/>
      <c r="H29" s="135"/>
      <c r="I29" s="134"/>
      <c r="J29" s="140"/>
      <c r="K29" s="140"/>
      <c r="L29" s="140"/>
      <c r="M29" s="134"/>
    </row>
    <row r="30" spans="1:13" ht="13.5">
      <c r="A30" s="257" t="s">
        <v>259</v>
      </c>
      <c r="B30" s="5" t="s">
        <v>11</v>
      </c>
      <c r="C30" s="133">
        <v>24</v>
      </c>
      <c r="D30" s="133">
        <v>24</v>
      </c>
      <c r="F30" s="24"/>
      <c r="G30" s="141"/>
      <c r="H30" s="135"/>
      <c r="I30" s="134"/>
      <c r="J30" s="140"/>
      <c r="K30" s="140"/>
      <c r="L30" s="134"/>
      <c r="M30" s="134"/>
    </row>
    <row r="31" spans="1:9" ht="13.5">
      <c r="A31" s="257" t="s">
        <v>255</v>
      </c>
      <c r="B31" s="5" t="s">
        <v>12</v>
      </c>
      <c r="C31" s="8">
        <f>C30/C29</f>
        <v>0.924490397250661</v>
      </c>
      <c r="D31" s="110">
        <f>D30/D29</f>
        <v>1.6012643391476795</v>
      </c>
      <c r="F31" s="24"/>
      <c r="G31" s="22"/>
      <c r="H31" s="23"/>
      <c r="I31" s="19"/>
    </row>
    <row r="32" spans="1:9" ht="12.75">
      <c r="A32" s="257" t="s">
        <v>260</v>
      </c>
      <c r="B32" s="10"/>
      <c r="C32" s="7">
        <v>1</v>
      </c>
      <c r="D32" s="109">
        <v>1</v>
      </c>
      <c r="F32" s="19"/>
      <c r="G32" s="19"/>
      <c r="H32" s="19"/>
      <c r="I32" s="19"/>
    </row>
    <row r="33" spans="1:6" ht="12.75">
      <c r="A33" s="257" t="s">
        <v>254</v>
      </c>
      <c r="B33" s="5" t="s">
        <v>13</v>
      </c>
      <c r="C33" s="11">
        <f>SQRT(C31*4/3.14/C32)</f>
        <v>1.085216463922162</v>
      </c>
      <c r="D33" s="112">
        <f>SQRT(D31*4/3.14/D32)</f>
        <v>1.4282251865961533</v>
      </c>
      <c r="F33" s="12"/>
    </row>
    <row r="34" spans="1:4" ht="12.75">
      <c r="A34" s="257" t="s">
        <v>261</v>
      </c>
      <c r="B34" s="5" t="s">
        <v>14</v>
      </c>
      <c r="C34" s="8">
        <f>C29*($B$19*2+15)/1000+0.03</f>
        <v>1.4578136408182754</v>
      </c>
      <c r="D34" s="110">
        <f>D29*($B$19*2+15)/1000+0.03</f>
        <v>0.854348589879051</v>
      </c>
    </row>
    <row r="35" spans="1:4" ht="12.75">
      <c r="A35" s="257" t="s">
        <v>234</v>
      </c>
      <c r="B35" s="5" t="s">
        <v>15</v>
      </c>
      <c r="C35" s="8">
        <f>C34*0.0178/C31</f>
        <v>0.02806852605904312</v>
      </c>
      <c r="D35" s="110">
        <f>D34*0.0178/D31</f>
        <v>0.009497123321900556</v>
      </c>
    </row>
    <row r="36" spans="1:4" ht="12.75">
      <c r="A36" s="257" t="s">
        <v>262</v>
      </c>
      <c r="B36" s="5" t="s">
        <v>9</v>
      </c>
      <c r="C36" s="8">
        <f>1.333*C35+0.001</f>
        <v>0.03841534523670448</v>
      </c>
      <c r="D36" s="110">
        <f>4*D35+0.001</f>
        <v>0.038988493287602226</v>
      </c>
    </row>
    <row r="37" spans="1:11" ht="14.25" thickBot="1">
      <c r="A37" s="258" t="s">
        <v>263</v>
      </c>
      <c r="B37" s="113" t="s">
        <v>16</v>
      </c>
      <c r="C37" s="114">
        <f>$D$19/3/C31</f>
        <v>14.152013007446714</v>
      </c>
      <c r="D37" s="115">
        <f>$D$19/3/D31*2</f>
        <v>16.341337038848888</v>
      </c>
      <c r="E37" s="19"/>
      <c r="F37" s="19"/>
      <c r="G37" s="19"/>
      <c r="H37" s="19"/>
      <c r="I37" s="19"/>
      <c r="J37" s="19"/>
      <c r="K37" s="19"/>
    </row>
    <row r="38" spans="5:11" ht="12.75">
      <c r="E38" s="19"/>
      <c r="F38" s="19"/>
      <c r="G38" s="19"/>
      <c r="H38" s="19"/>
      <c r="I38" s="19"/>
      <c r="J38" s="19"/>
      <c r="K38" s="19"/>
    </row>
  </sheetData>
  <printOptions/>
  <pageMargins left="0.75" right="0.75" top="1" bottom="1" header="0.5" footer="0.5"/>
  <pageSetup horizontalDpi="1200" verticalDpi="1200" orientation="landscape" paperSize="8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C6" sqref="C6"/>
    </sheetView>
  </sheetViews>
  <sheetFormatPr defaultColWidth="9.140625" defaultRowHeight="12.75"/>
  <cols>
    <col min="1" max="1" width="30.00390625" style="0" customWidth="1"/>
    <col min="2" max="2" width="7.7109375" style="0" customWidth="1"/>
    <col min="3" max="3" width="6.7109375" style="0" customWidth="1"/>
    <col min="4" max="4" width="12.140625" style="0" customWidth="1"/>
    <col min="5" max="5" width="12.57421875" style="0" customWidth="1"/>
    <col min="6" max="6" width="15.421875" style="0" customWidth="1"/>
    <col min="7" max="7" width="2.00390625" style="0" customWidth="1"/>
    <col min="8" max="8" width="11.7109375" style="0" customWidth="1"/>
    <col min="9" max="9" width="7.8515625" style="0" customWidth="1"/>
    <col min="10" max="10" width="7.28125" style="0" customWidth="1"/>
  </cols>
  <sheetData>
    <row r="1" spans="1:13" ht="24" thickBot="1">
      <c r="A1" s="288" t="s">
        <v>237</v>
      </c>
      <c r="B1" s="289"/>
      <c r="C1" s="289"/>
      <c r="D1" s="289"/>
      <c r="E1" s="289"/>
      <c r="F1" s="290"/>
      <c r="G1" s="13"/>
      <c r="H1" s="288" t="s">
        <v>242</v>
      </c>
      <c r="I1" s="289"/>
      <c r="J1" s="289"/>
      <c r="K1" s="289"/>
      <c r="L1" s="289"/>
      <c r="M1" s="290"/>
    </row>
    <row r="2" spans="1:13" ht="12.75">
      <c r="A2" s="120" t="s">
        <v>20</v>
      </c>
      <c r="B2" s="118"/>
      <c r="C2" s="118"/>
      <c r="D2" s="118"/>
      <c r="E2" s="118"/>
      <c r="F2" s="119"/>
      <c r="G2" s="13"/>
      <c r="H2" s="120" t="s">
        <v>94</v>
      </c>
      <c r="I2" s="118"/>
      <c r="J2" s="118"/>
      <c r="K2" s="118"/>
      <c r="L2" s="118"/>
      <c r="M2" s="119"/>
    </row>
    <row r="3" spans="1:13" ht="13.5" thickBot="1">
      <c r="A3" s="121" t="s">
        <v>61</v>
      </c>
      <c r="B3" s="116"/>
      <c r="C3" s="116"/>
      <c r="D3" s="122"/>
      <c r="E3" s="150" t="s">
        <v>75</v>
      </c>
      <c r="F3" s="117"/>
      <c r="G3" s="13"/>
      <c r="H3" s="121" t="s">
        <v>61</v>
      </c>
      <c r="I3" s="116"/>
      <c r="J3" s="116"/>
      <c r="K3" s="122"/>
      <c r="L3" s="150"/>
      <c r="M3" s="117"/>
    </row>
    <row r="4" spans="1:13" ht="13.5" thickBot="1">
      <c r="A4" s="259" t="s">
        <v>238</v>
      </c>
      <c r="B4" s="260" t="s">
        <v>239</v>
      </c>
      <c r="C4" s="263" t="s">
        <v>240</v>
      </c>
      <c r="D4" s="291" t="s">
        <v>241</v>
      </c>
      <c r="E4" s="292"/>
      <c r="F4" s="293"/>
      <c r="G4" s="63"/>
      <c r="H4" s="123"/>
      <c r="I4" s="260" t="s">
        <v>239</v>
      </c>
      <c r="J4" s="263" t="s">
        <v>240</v>
      </c>
      <c r="K4" s="291" t="s">
        <v>243</v>
      </c>
      <c r="L4" s="292"/>
      <c r="M4" s="293"/>
    </row>
    <row r="5" spans="1:13" ht="13.5" thickBot="1">
      <c r="A5" s="143"/>
      <c r="B5" s="261" t="s">
        <v>13</v>
      </c>
      <c r="C5" s="262" t="s">
        <v>0</v>
      </c>
      <c r="D5" s="264" t="s">
        <v>91</v>
      </c>
      <c r="E5" s="143" t="s">
        <v>92</v>
      </c>
      <c r="F5" s="144" t="s">
        <v>93</v>
      </c>
      <c r="G5" s="14"/>
      <c r="H5" s="71"/>
      <c r="I5" s="72" t="s">
        <v>13</v>
      </c>
      <c r="J5" s="73" t="s">
        <v>0</v>
      </c>
      <c r="K5" s="151"/>
      <c r="L5" s="152"/>
      <c r="M5" s="153"/>
    </row>
    <row r="6" spans="1:13" ht="12.75">
      <c r="A6" s="66" t="s">
        <v>43</v>
      </c>
      <c r="B6" s="266">
        <v>7</v>
      </c>
      <c r="C6" s="267">
        <v>6</v>
      </c>
      <c r="D6" s="268">
        <v>12110</v>
      </c>
      <c r="E6" s="269">
        <v>11500</v>
      </c>
      <c r="F6" s="270">
        <v>10850</v>
      </c>
      <c r="G6" s="13"/>
      <c r="H6" s="155" t="s">
        <v>95</v>
      </c>
      <c r="I6" s="164">
        <v>9</v>
      </c>
      <c r="J6" s="159">
        <v>8</v>
      </c>
      <c r="K6" s="169">
        <v>7278</v>
      </c>
      <c r="L6" s="69"/>
      <c r="M6" s="70"/>
    </row>
    <row r="7" spans="1:13" ht="12.75">
      <c r="A7" s="179" t="s">
        <v>44</v>
      </c>
      <c r="B7" s="271">
        <v>8</v>
      </c>
      <c r="C7" s="272">
        <v>5</v>
      </c>
      <c r="D7" s="170">
        <v>10000</v>
      </c>
      <c r="E7" s="180">
        <v>9600</v>
      </c>
      <c r="F7" s="181">
        <v>9100</v>
      </c>
      <c r="G7" s="13"/>
      <c r="H7" s="156" t="s">
        <v>95</v>
      </c>
      <c r="I7" s="165">
        <v>10</v>
      </c>
      <c r="J7" s="160">
        <v>5</v>
      </c>
      <c r="K7" s="170">
        <v>7452</v>
      </c>
      <c r="L7" s="15"/>
      <c r="M7" s="64"/>
    </row>
    <row r="8" spans="1:13" ht="12.75">
      <c r="A8" s="179" t="s">
        <v>21</v>
      </c>
      <c r="B8" s="271">
        <v>8</v>
      </c>
      <c r="C8" s="272">
        <v>5</v>
      </c>
      <c r="D8" s="170">
        <v>10150</v>
      </c>
      <c r="E8" s="180">
        <v>9750</v>
      </c>
      <c r="F8" s="181">
        <v>9230</v>
      </c>
      <c r="G8" s="13"/>
      <c r="H8" s="156" t="s">
        <v>95</v>
      </c>
      <c r="I8" s="165">
        <v>10</v>
      </c>
      <c r="J8" s="160">
        <v>6</v>
      </c>
      <c r="K8" s="170">
        <v>7313</v>
      </c>
      <c r="L8" s="15"/>
      <c r="M8" s="64"/>
    </row>
    <row r="9" spans="1:13" ht="12.75">
      <c r="A9" s="182" t="s">
        <v>22</v>
      </c>
      <c r="B9" s="273">
        <v>9</v>
      </c>
      <c r="C9" s="274">
        <v>5</v>
      </c>
      <c r="D9" s="171">
        <v>8800</v>
      </c>
      <c r="E9" s="183">
        <v>8480</v>
      </c>
      <c r="F9" s="184">
        <v>8120</v>
      </c>
      <c r="G9" s="13"/>
      <c r="H9" s="156" t="s">
        <v>95</v>
      </c>
      <c r="I9" s="165">
        <v>10</v>
      </c>
      <c r="J9" s="160">
        <v>7</v>
      </c>
      <c r="K9" s="170">
        <v>6852</v>
      </c>
      <c r="L9" s="15"/>
      <c r="M9" s="64"/>
    </row>
    <row r="10" spans="1:13" ht="12.75">
      <c r="A10" s="182" t="s">
        <v>45</v>
      </c>
      <c r="B10" s="273">
        <v>9</v>
      </c>
      <c r="C10" s="274">
        <v>5</v>
      </c>
      <c r="D10" s="171">
        <v>10300</v>
      </c>
      <c r="E10" s="183">
        <v>9930</v>
      </c>
      <c r="F10" s="184">
        <v>9517</v>
      </c>
      <c r="G10" s="13"/>
      <c r="H10" s="156" t="s">
        <v>95</v>
      </c>
      <c r="I10" s="165">
        <v>10</v>
      </c>
      <c r="J10" s="160">
        <v>8</v>
      </c>
      <c r="K10" s="170">
        <v>6446</v>
      </c>
      <c r="L10" s="15"/>
      <c r="M10" s="64"/>
    </row>
    <row r="11" spans="1:13" ht="12.75">
      <c r="A11" s="182" t="s">
        <v>46</v>
      </c>
      <c r="B11" s="273">
        <v>9</v>
      </c>
      <c r="C11" s="274">
        <v>6.5</v>
      </c>
      <c r="D11" s="171">
        <v>7500</v>
      </c>
      <c r="E11" s="183">
        <v>7220</v>
      </c>
      <c r="F11" s="184">
        <v>6920</v>
      </c>
      <c r="G11" s="13"/>
      <c r="H11" s="156" t="s">
        <v>95</v>
      </c>
      <c r="I11" s="165">
        <v>10</v>
      </c>
      <c r="J11" s="160">
        <v>9</v>
      </c>
      <c r="K11" s="170">
        <v>6008</v>
      </c>
      <c r="L11" s="15"/>
      <c r="M11" s="64"/>
    </row>
    <row r="12" spans="1:13" ht="12.75">
      <c r="A12" s="182" t="s">
        <v>23</v>
      </c>
      <c r="B12" s="273">
        <v>9.5</v>
      </c>
      <c r="C12" s="274">
        <v>5</v>
      </c>
      <c r="D12" s="171">
        <v>8100</v>
      </c>
      <c r="E12" s="183">
        <v>7810</v>
      </c>
      <c r="F12" s="184">
        <v>7520</v>
      </c>
      <c r="G12" s="13"/>
      <c r="H12" s="157" t="s">
        <v>95</v>
      </c>
      <c r="I12" s="166">
        <v>11</v>
      </c>
      <c r="J12" s="161">
        <v>6</v>
      </c>
      <c r="K12" s="171">
        <v>6320</v>
      </c>
      <c r="L12" s="15"/>
      <c r="M12" s="64"/>
    </row>
    <row r="13" spans="1:13" ht="12.75">
      <c r="A13" s="185" t="s">
        <v>24</v>
      </c>
      <c r="B13" s="275">
        <v>10</v>
      </c>
      <c r="C13" s="276">
        <v>6</v>
      </c>
      <c r="D13" s="172">
        <v>7850</v>
      </c>
      <c r="E13" s="186">
        <v>7590</v>
      </c>
      <c r="F13" s="187">
        <v>7320</v>
      </c>
      <c r="G13" s="13"/>
      <c r="H13" s="157" t="s">
        <v>95</v>
      </c>
      <c r="I13" s="166">
        <v>11</v>
      </c>
      <c r="J13" s="161">
        <v>7</v>
      </c>
      <c r="K13" s="171">
        <v>6087</v>
      </c>
      <c r="L13" s="15"/>
      <c r="M13" s="64"/>
    </row>
    <row r="14" spans="1:13" ht="12.75">
      <c r="A14" s="185" t="s">
        <v>47</v>
      </c>
      <c r="B14" s="275">
        <v>10</v>
      </c>
      <c r="C14" s="276">
        <v>7</v>
      </c>
      <c r="D14" s="172">
        <v>6650</v>
      </c>
      <c r="E14" s="186">
        <v>6430</v>
      </c>
      <c r="F14" s="187">
        <v>6200</v>
      </c>
      <c r="G14" s="13"/>
      <c r="H14" s="157" t="s">
        <v>95</v>
      </c>
      <c r="I14" s="166">
        <v>11</v>
      </c>
      <c r="J14" s="161">
        <v>8</v>
      </c>
      <c r="K14" s="171">
        <v>5693</v>
      </c>
      <c r="L14" s="15"/>
      <c r="M14" s="64"/>
    </row>
    <row r="15" spans="1:13" ht="12.75">
      <c r="A15" s="185" t="s">
        <v>25</v>
      </c>
      <c r="B15" s="275">
        <v>10</v>
      </c>
      <c r="C15" s="276">
        <v>8</v>
      </c>
      <c r="D15" s="172">
        <v>6600</v>
      </c>
      <c r="E15" s="186">
        <v>6330</v>
      </c>
      <c r="F15" s="187">
        <v>6100</v>
      </c>
      <c r="G15" s="13"/>
      <c r="H15" s="157" t="s">
        <v>95</v>
      </c>
      <c r="I15" s="166">
        <v>11</v>
      </c>
      <c r="J15" s="161">
        <v>11</v>
      </c>
      <c r="K15" s="171">
        <v>4907</v>
      </c>
      <c r="L15" s="15"/>
      <c r="M15" s="64"/>
    </row>
    <row r="16" spans="1:13" ht="12.75">
      <c r="A16" s="185" t="s">
        <v>48</v>
      </c>
      <c r="B16" s="275">
        <v>10.5</v>
      </c>
      <c r="C16" s="276">
        <v>6</v>
      </c>
      <c r="D16" s="172">
        <v>6650</v>
      </c>
      <c r="E16" s="186">
        <v>6440</v>
      </c>
      <c r="F16" s="187">
        <v>6230</v>
      </c>
      <c r="G16" s="13"/>
      <c r="H16" s="154" t="s">
        <v>95</v>
      </c>
      <c r="I16" s="167">
        <v>12</v>
      </c>
      <c r="J16" s="162">
        <v>6</v>
      </c>
      <c r="K16" s="172">
        <v>5607</v>
      </c>
      <c r="L16" s="15"/>
      <c r="M16" s="64"/>
    </row>
    <row r="17" spans="1:13" ht="12.75">
      <c r="A17" s="188" t="s">
        <v>49</v>
      </c>
      <c r="B17" s="277">
        <v>11</v>
      </c>
      <c r="C17" s="278">
        <v>6.5</v>
      </c>
      <c r="D17" s="173">
        <v>6250</v>
      </c>
      <c r="E17" s="189">
        <v>6060</v>
      </c>
      <c r="F17" s="190">
        <v>5820</v>
      </c>
      <c r="G17" s="13"/>
      <c r="H17" s="154" t="s">
        <v>95</v>
      </c>
      <c r="I17" s="167">
        <v>12</v>
      </c>
      <c r="J17" s="162">
        <v>6.5</v>
      </c>
      <c r="K17" s="172">
        <v>5445</v>
      </c>
      <c r="L17" s="15"/>
      <c r="M17" s="64"/>
    </row>
    <row r="18" spans="1:13" ht="12.75">
      <c r="A18" s="188" t="s">
        <v>26</v>
      </c>
      <c r="B18" s="277">
        <v>11</v>
      </c>
      <c r="C18" s="278">
        <v>7</v>
      </c>
      <c r="D18" s="173">
        <v>6400</v>
      </c>
      <c r="E18" s="189">
        <v>6210</v>
      </c>
      <c r="F18" s="190">
        <v>5960</v>
      </c>
      <c r="G18" s="13"/>
      <c r="H18" s="154" t="s">
        <v>95</v>
      </c>
      <c r="I18" s="167">
        <v>12</v>
      </c>
      <c r="J18" s="162">
        <v>8</v>
      </c>
      <c r="K18" s="172">
        <v>5215</v>
      </c>
      <c r="L18" s="15"/>
      <c r="M18" s="64"/>
    </row>
    <row r="19" spans="1:13" ht="12.75">
      <c r="A19" s="188" t="s">
        <v>27</v>
      </c>
      <c r="B19" s="277">
        <v>11</v>
      </c>
      <c r="C19" s="278">
        <v>8</v>
      </c>
      <c r="D19" s="173">
        <v>6150</v>
      </c>
      <c r="E19" s="189">
        <v>5960</v>
      </c>
      <c r="F19" s="190">
        <v>5775</v>
      </c>
      <c r="G19" s="13"/>
      <c r="H19" s="154" t="s">
        <v>95</v>
      </c>
      <c r="I19" s="167">
        <v>12</v>
      </c>
      <c r="J19" s="162">
        <v>9</v>
      </c>
      <c r="K19" s="172">
        <v>5150</v>
      </c>
      <c r="L19" s="15"/>
      <c r="M19" s="64"/>
    </row>
    <row r="20" spans="1:13" ht="12.75">
      <c r="A20" s="188" t="s">
        <v>50</v>
      </c>
      <c r="B20" s="277">
        <v>11.5</v>
      </c>
      <c r="C20" s="278">
        <v>7</v>
      </c>
      <c r="D20" s="173">
        <v>5900</v>
      </c>
      <c r="E20" s="189">
        <v>5720</v>
      </c>
      <c r="F20" s="190">
        <v>5546</v>
      </c>
      <c r="G20" s="13"/>
      <c r="H20" s="158" t="s">
        <v>95</v>
      </c>
      <c r="I20" s="168">
        <v>13</v>
      </c>
      <c r="J20" s="163">
        <v>6</v>
      </c>
      <c r="K20" s="173">
        <v>5330</v>
      </c>
      <c r="L20" s="15"/>
      <c r="M20" s="64"/>
    </row>
    <row r="21" spans="1:13" ht="12.75">
      <c r="A21" s="179" t="s">
        <v>28</v>
      </c>
      <c r="B21" s="271">
        <v>12</v>
      </c>
      <c r="C21" s="272">
        <v>6.5</v>
      </c>
      <c r="D21" s="170">
        <v>6000</v>
      </c>
      <c r="E21" s="180">
        <v>5830</v>
      </c>
      <c r="F21" s="181">
        <v>5660</v>
      </c>
      <c r="G21" s="13"/>
      <c r="H21" s="158" t="s">
        <v>95</v>
      </c>
      <c r="I21" s="168">
        <v>13</v>
      </c>
      <c r="J21" s="163">
        <v>6.5</v>
      </c>
      <c r="K21" s="173">
        <v>5054</v>
      </c>
      <c r="L21" s="15"/>
      <c r="M21" s="64"/>
    </row>
    <row r="22" spans="1:13" ht="12.75">
      <c r="A22" s="179" t="s">
        <v>51</v>
      </c>
      <c r="B22" s="271">
        <v>12</v>
      </c>
      <c r="C22" s="272">
        <v>7</v>
      </c>
      <c r="D22" s="170">
        <v>6050</v>
      </c>
      <c r="E22" s="180">
        <v>5880</v>
      </c>
      <c r="F22" s="181">
        <v>5705</v>
      </c>
      <c r="G22" s="13"/>
      <c r="H22" s="158" t="s">
        <v>95</v>
      </c>
      <c r="I22" s="168">
        <v>13</v>
      </c>
      <c r="J22" s="163">
        <v>8</v>
      </c>
      <c r="K22" s="173">
        <v>4755</v>
      </c>
      <c r="L22" s="15"/>
      <c r="M22" s="64"/>
    </row>
    <row r="23" spans="1:13" ht="12.75">
      <c r="A23" s="179" t="s">
        <v>52</v>
      </c>
      <c r="B23" s="271">
        <v>12</v>
      </c>
      <c r="C23" s="272">
        <v>8</v>
      </c>
      <c r="D23" s="170">
        <v>5300</v>
      </c>
      <c r="E23" s="180">
        <v>5150</v>
      </c>
      <c r="F23" s="181">
        <v>5000</v>
      </c>
      <c r="G23" s="13"/>
      <c r="H23" s="158" t="s">
        <v>95</v>
      </c>
      <c r="I23" s="168">
        <v>13</v>
      </c>
      <c r="J23" s="163">
        <v>10</v>
      </c>
      <c r="K23" s="173">
        <v>4178</v>
      </c>
      <c r="L23" s="15"/>
      <c r="M23" s="64"/>
    </row>
    <row r="24" spans="1:13" ht="12.75">
      <c r="A24" s="179" t="s">
        <v>29</v>
      </c>
      <c r="B24" s="271">
        <v>12</v>
      </c>
      <c r="C24" s="272">
        <v>9</v>
      </c>
      <c r="D24" s="170">
        <v>5050</v>
      </c>
      <c r="E24" s="180">
        <v>4910</v>
      </c>
      <c r="F24" s="181">
        <v>4760</v>
      </c>
      <c r="G24" s="13"/>
      <c r="H24" s="158" t="s">
        <v>95</v>
      </c>
      <c r="I24" s="168">
        <v>13</v>
      </c>
      <c r="J24" s="163">
        <v>13</v>
      </c>
      <c r="K24" s="173">
        <v>3943</v>
      </c>
      <c r="L24" s="15"/>
      <c r="M24" s="64"/>
    </row>
    <row r="25" spans="1:13" ht="12.75">
      <c r="A25" s="179" t="s">
        <v>53</v>
      </c>
      <c r="B25" s="271">
        <v>12.5</v>
      </c>
      <c r="C25" s="272">
        <v>6.5</v>
      </c>
      <c r="D25" s="170">
        <v>5650</v>
      </c>
      <c r="E25" s="180">
        <v>5500</v>
      </c>
      <c r="F25" s="181">
        <v>5340</v>
      </c>
      <c r="G25" s="13"/>
      <c r="H25" s="156" t="s">
        <v>95</v>
      </c>
      <c r="I25" s="165">
        <v>14</v>
      </c>
      <c r="J25" s="160">
        <v>8</v>
      </c>
      <c r="K25" s="170">
        <v>4336</v>
      </c>
      <c r="L25" s="15"/>
      <c r="M25" s="64"/>
    </row>
    <row r="26" spans="1:13" ht="12.75">
      <c r="A26" s="179" t="s">
        <v>30</v>
      </c>
      <c r="B26" s="271">
        <v>12.5</v>
      </c>
      <c r="C26" s="272">
        <v>7.5</v>
      </c>
      <c r="D26" s="170">
        <v>5200</v>
      </c>
      <c r="E26" s="180">
        <v>5060</v>
      </c>
      <c r="F26" s="181">
        <v>4910</v>
      </c>
      <c r="G26" s="13"/>
      <c r="H26" s="156" t="s">
        <v>95</v>
      </c>
      <c r="I26" s="165">
        <v>14</v>
      </c>
      <c r="J26" s="160">
        <v>10</v>
      </c>
      <c r="K26" s="170">
        <v>3847</v>
      </c>
      <c r="L26" s="15"/>
      <c r="M26" s="64"/>
    </row>
    <row r="27" spans="1:13" ht="12.75">
      <c r="A27" s="179" t="s">
        <v>54</v>
      </c>
      <c r="B27" s="271">
        <v>12.5</v>
      </c>
      <c r="C27" s="272">
        <v>10</v>
      </c>
      <c r="D27" s="170">
        <v>5500</v>
      </c>
      <c r="E27" s="180">
        <v>5357</v>
      </c>
      <c r="F27" s="181">
        <v>5197</v>
      </c>
      <c r="G27" s="13"/>
      <c r="H27" s="156" t="s">
        <v>95</v>
      </c>
      <c r="I27" s="165">
        <v>14</v>
      </c>
      <c r="J27" s="160">
        <v>12</v>
      </c>
      <c r="K27" s="170">
        <v>3674</v>
      </c>
      <c r="L27" s="15"/>
      <c r="M27" s="64"/>
    </row>
    <row r="28" spans="1:13" ht="12.75">
      <c r="A28" s="182" t="s">
        <v>55</v>
      </c>
      <c r="B28" s="273">
        <v>13</v>
      </c>
      <c r="C28" s="274">
        <v>6.5</v>
      </c>
      <c r="D28" s="171">
        <v>5400</v>
      </c>
      <c r="E28" s="183">
        <v>5260</v>
      </c>
      <c r="F28" s="184">
        <v>5110</v>
      </c>
      <c r="G28" s="13"/>
      <c r="H28" s="156" t="s">
        <v>95</v>
      </c>
      <c r="I28" s="165">
        <v>14</v>
      </c>
      <c r="J28" s="160">
        <v>14</v>
      </c>
      <c r="K28" s="170">
        <v>3288</v>
      </c>
      <c r="L28" s="15"/>
      <c r="M28" s="64"/>
    </row>
    <row r="29" spans="1:13" ht="12.75">
      <c r="A29" s="182" t="s">
        <v>31</v>
      </c>
      <c r="B29" s="273">
        <v>13</v>
      </c>
      <c r="C29" s="274">
        <v>8</v>
      </c>
      <c r="D29" s="171">
        <v>5150</v>
      </c>
      <c r="E29" s="183">
        <v>5010</v>
      </c>
      <c r="F29" s="184">
        <v>4880</v>
      </c>
      <c r="G29" s="13"/>
      <c r="H29" s="157" t="s">
        <v>95</v>
      </c>
      <c r="I29" s="166">
        <v>15</v>
      </c>
      <c r="J29" s="161">
        <v>8</v>
      </c>
      <c r="K29" s="171">
        <v>3943</v>
      </c>
      <c r="L29" s="15"/>
      <c r="M29" s="64"/>
    </row>
    <row r="30" spans="1:13" ht="12.75">
      <c r="A30" s="182" t="s">
        <v>32</v>
      </c>
      <c r="B30" s="273">
        <v>13</v>
      </c>
      <c r="C30" s="274">
        <v>11</v>
      </c>
      <c r="D30" s="171">
        <v>4400</v>
      </c>
      <c r="E30" s="183">
        <v>4280</v>
      </c>
      <c r="F30" s="184">
        <v>4170</v>
      </c>
      <c r="G30" s="13"/>
      <c r="H30" s="157" t="s">
        <v>95</v>
      </c>
      <c r="I30" s="166">
        <v>15</v>
      </c>
      <c r="J30" s="161">
        <v>10</v>
      </c>
      <c r="K30" s="171">
        <v>3640</v>
      </c>
      <c r="L30" s="15"/>
      <c r="M30" s="64"/>
    </row>
    <row r="31" spans="1:13" ht="12.75">
      <c r="A31" s="182" t="s">
        <v>56</v>
      </c>
      <c r="B31" s="273">
        <v>13.5</v>
      </c>
      <c r="C31" s="274">
        <v>7</v>
      </c>
      <c r="D31" s="171">
        <v>4900</v>
      </c>
      <c r="E31" s="183">
        <v>4770</v>
      </c>
      <c r="F31" s="184">
        <v>4650</v>
      </c>
      <c r="G31" s="13"/>
      <c r="H31" s="157" t="s">
        <v>95</v>
      </c>
      <c r="I31" s="166">
        <v>15</v>
      </c>
      <c r="J31" s="161">
        <v>12.5</v>
      </c>
      <c r="K31" s="171">
        <v>3350</v>
      </c>
      <c r="L31" s="15"/>
      <c r="M31" s="64"/>
    </row>
    <row r="32" spans="1:13" ht="12.75">
      <c r="A32" s="185" t="s">
        <v>57</v>
      </c>
      <c r="B32" s="275">
        <v>14</v>
      </c>
      <c r="C32" s="276">
        <v>7</v>
      </c>
      <c r="D32" s="172">
        <v>4600</v>
      </c>
      <c r="E32" s="186">
        <v>4490</v>
      </c>
      <c r="F32" s="187">
        <v>4370</v>
      </c>
      <c r="G32" s="13"/>
      <c r="H32" s="154" t="s">
        <v>95</v>
      </c>
      <c r="I32" s="167">
        <v>16</v>
      </c>
      <c r="J32" s="162">
        <v>8</v>
      </c>
      <c r="K32" s="172">
        <v>3586</v>
      </c>
      <c r="L32" s="15"/>
      <c r="M32" s="64"/>
    </row>
    <row r="33" spans="1:13" ht="12.75">
      <c r="A33" s="185" t="s">
        <v>33</v>
      </c>
      <c r="B33" s="275">
        <v>14</v>
      </c>
      <c r="C33" s="276">
        <v>8</v>
      </c>
      <c r="D33" s="172">
        <v>4150</v>
      </c>
      <c r="E33" s="186">
        <v>4050</v>
      </c>
      <c r="F33" s="187">
        <v>3940</v>
      </c>
      <c r="G33" s="13"/>
      <c r="H33" s="154" t="s">
        <v>95</v>
      </c>
      <c r="I33" s="167">
        <v>16</v>
      </c>
      <c r="J33" s="162">
        <v>10</v>
      </c>
      <c r="K33" s="172">
        <v>3371</v>
      </c>
      <c r="L33" s="15"/>
      <c r="M33" s="64"/>
    </row>
    <row r="34" spans="1:13" ht="12.75">
      <c r="A34" s="185" t="s">
        <v>34</v>
      </c>
      <c r="B34" s="275">
        <v>14</v>
      </c>
      <c r="C34" s="276">
        <v>9</v>
      </c>
      <c r="D34" s="172">
        <v>3950</v>
      </c>
      <c r="E34" s="186">
        <v>3850</v>
      </c>
      <c r="F34" s="187">
        <v>3750</v>
      </c>
      <c r="G34" s="13"/>
      <c r="H34" s="154" t="s">
        <v>95</v>
      </c>
      <c r="I34" s="167">
        <v>16</v>
      </c>
      <c r="J34" s="162">
        <v>12</v>
      </c>
      <c r="K34" s="172">
        <v>3136</v>
      </c>
      <c r="L34" s="15"/>
      <c r="M34" s="64"/>
    </row>
    <row r="35" spans="1:13" ht="12.75">
      <c r="A35" s="185" t="s">
        <v>35</v>
      </c>
      <c r="B35" s="275">
        <v>14</v>
      </c>
      <c r="C35" s="276">
        <v>10</v>
      </c>
      <c r="D35" s="172">
        <v>3750</v>
      </c>
      <c r="E35" s="186">
        <v>3660</v>
      </c>
      <c r="F35" s="187">
        <v>3560</v>
      </c>
      <c r="G35" s="13"/>
      <c r="H35" s="158" t="s">
        <v>95</v>
      </c>
      <c r="I35" s="168">
        <v>18</v>
      </c>
      <c r="J35" s="163">
        <v>6</v>
      </c>
      <c r="K35" s="173">
        <v>3406</v>
      </c>
      <c r="L35" s="15"/>
      <c r="M35" s="64"/>
    </row>
    <row r="36" spans="1:13" ht="12.75">
      <c r="A36" s="188" t="s">
        <v>248</v>
      </c>
      <c r="B36" s="277">
        <v>15</v>
      </c>
      <c r="C36" s="278">
        <v>8</v>
      </c>
      <c r="D36" s="173">
        <v>4100</v>
      </c>
      <c r="E36" s="189">
        <v>4010</v>
      </c>
      <c r="F36" s="190">
        <v>3930</v>
      </c>
      <c r="G36" s="13"/>
      <c r="H36" s="175"/>
      <c r="I36" s="176"/>
      <c r="J36" s="177"/>
      <c r="K36" s="178"/>
      <c r="L36" s="15"/>
      <c r="M36" s="64"/>
    </row>
    <row r="37" spans="1:13" ht="13.5" customHeight="1">
      <c r="A37" s="188" t="s">
        <v>58</v>
      </c>
      <c r="B37" s="277">
        <v>15</v>
      </c>
      <c r="C37" s="278">
        <v>9.5</v>
      </c>
      <c r="D37" s="173">
        <v>4150</v>
      </c>
      <c r="E37" s="189">
        <v>4060</v>
      </c>
      <c r="F37" s="190">
        <v>3960</v>
      </c>
      <c r="G37" s="13"/>
      <c r="H37" s="175"/>
      <c r="I37" s="176"/>
      <c r="J37" s="177"/>
      <c r="K37" s="178"/>
      <c r="L37" s="15"/>
      <c r="M37" s="64"/>
    </row>
    <row r="38" spans="1:13" ht="12.75">
      <c r="A38" s="188" t="s">
        <v>249</v>
      </c>
      <c r="B38" s="277">
        <v>15</v>
      </c>
      <c r="C38" s="278">
        <v>10</v>
      </c>
      <c r="D38" s="173">
        <v>3660</v>
      </c>
      <c r="E38" s="189">
        <v>3580</v>
      </c>
      <c r="F38" s="190">
        <v>3500</v>
      </c>
      <c r="G38" s="13"/>
      <c r="H38" s="175"/>
      <c r="I38" s="176"/>
      <c r="J38" s="177"/>
      <c r="K38" s="178"/>
      <c r="L38" s="15"/>
      <c r="M38" s="64"/>
    </row>
    <row r="39" spans="1:13" ht="12.75">
      <c r="A39" s="188" t="s">
        <v>36</v>
      </c>
      <c r="B39" s="277">
        <v>15</v>
      </c>
      <c r="C39" s="278">
        <v>13</v>
      </c>
      <c r="D39" s="173">
        <v>3300</v>
      </c>
      <c r="E39" s="189">
        <v>3230</v>
      </c>
      <c r="F39" s="190">
        <v>3150</v>
      </c>
      <c r="G39" s="13"/>
      <c r="H39" s="175"/>
      <c r="I39" s="176"/>
      <c r="J39" s="177"/>
      <c r="K39" s="178"/>
      <c r="L39" s="15"/>
      <c r="M39" s="64"/>
    </row>
    <row r="40" spans="1:13" ht="12.75">
      <c r="A40" s="179" t="s">
        <v>37</v>
      </c>
      <c r="B40" s="271">
        <v>16</v>
      </c>
      <c r="C40" s="272">
        <v>10</v>
      </c>
      <c r="D40" s="170">
        <v>3500</v>
      </c>
      <c r="E40" s="180">
        <v>3420</v>
      </c>
      <c r="F40" s="181">
        <v>3350</v>
      </c>
      <c r="G40" s="13"/>
      <c r="H40" s="175"/>
      <c r="I40" s="176"/>
      <c r="J40" s="177"/>
      <c r="K40" s="178"/>
      <c r="L40" s="15"/>
      <c r="M40" s="64"/>
    </row>
    <row r="41" spans="1:13" ht="12.75">
      <c r="A41" s="179" t="s">
        <v>38</v>
      </c>
      <c r="B41" s="271">
        <v>16</v>
      </c>
      <c r="C41" s="272">
        <v>13</v>
      </c>
      <c r="D41" s="170">
        <v>3200</v>
      </c>
      <c r="E41" s="180">
        <v>3130</v>
      </c>
      <c r="F41" s="181">
        <v>3060</v>
      </c>
      <c r="G41" s="13"/>
      <c r="H41" s="175"/>
      <c r="I41" s="176"/>
      <c r="J41" s="177"/>
      <c r="K41" s="178"/>
      <c r="L41" s="15"/>
      <c r="M41" s="64"/>
    </row>
    <row r="42" spans="1:13" ht="12.75">
      <c r="A42" s="179" t="s">
        <v>59</v>
      </c>
      <c r="B42" s="271">
        <v>16.5</v>
      </c>
      <c r="C42" s="272">
        <v>15</v>
      </c>
      <c r="D42" s="170">
        <v>3000</v>
      </c>
      <c r="E42" s="180">
        <v>2940</v>
      </c>
      <c r="F42" s="181">
        <v>2870</v>
      </c>
      <c r="G42" s="13"/>
      <c r="H42" s="175"/>
      <c r="I42" s="176"/>
      <c r="J42" s="177"/>
      <c r="K42" s="178"/>
      <c r="L42" s="15"/>
      <c r="M42" s="64"/>
    </row>
    <row r="43" spans="1:11" ht="12.75">
      <c r="A43" s="182" t="s">
        <v>39</v>
      </c>
      <c r="B43" s="273">
        <v>17</v>
      </c>
      <c r="C43" s="274">
        <v>9</v>
      </c>
      <c r="D43" s="171">
        <v>3400</v>
      </c>
      <c r="E43" s="183">
        <v>3330</v>
      </c>
      <c r="F43" s="184">
        <v>3260</v>
      </c>
      <c r="G43" s="13"/>
      <c r="K43" s="174"/>
    </row>
    <row r="44" spans="1:11" ht="12.75">
      <c r="A44" s="182" t="s">
        <v>40</v>
      </c>
      <c r="B44" s="273">
        <v>17</v>
      </c>
      <c r="C44" s="274">
        <v>11</v>
      </c>
      <c r="D44" s="171">
        <v>3000</v>
      </c>
      <c r="E44" s="183">
        <v>2940</v>
      </c>
      <c r="F44" s="184">
        <v>2880</v>
      </c>
      <c r="G44" s="13"/>
      <c r="K44" s="174"/>
    </row>
    <row r="45" spans="1:11" ht="12.75">
      <c r="A45" s="182" t="s">
        <v>41</v>
      </c>
      <c r="B45" s="273">
        <v>17</v>
      </c>
      <c r="C45" s="274">
        <v>13</v>
      </c>
      <c r="D45" s="171">
        <v>2650</v>
      </c>
      <c r="E45" s="183">
        <v>2600</v>
      </c>
      <c r="F45" s="184">
        <v>2540</v>
      </c>
      <c r="G45" s="13"/>
      <c r="K45" s="174"/>
    </row>
    <row r="46" spans="1:11" ht="12.75">
      <c r="A46" s="185" t="s">
        <v>60</v>
      </c>
      <c r="B46" s="275">
        <v>18</v>
      </c>
      <c r="C46" s="276">
        <v>8</v>
      </c>
      <c r="D46" s="172">
        <v>3600</v>
      </c>
      <c r="E46" s="186">
        <v>3540</v>
      </c>
      <c r="F46" s="187">
        <v>3470</v>
      </c>
      <c r="G46" s="13"/>
      <c r="K46" s="174"/>
    </row>
    <row r="47" spans="1:11" ht="13.5" thickBot="1">
      <c r="A47" s="191" t="s">
        <v>42</v>
      </c>
      <c r="B47" s="279">
        <v>18</v>
      </c>
      <c r="C47" s="280">
        <v>11</v>
      </c>
      <c r="D47" s="281">
        <v>3070</v>
      </c>
      <c r="E47" s="192">
        <v>3018</v>
      </c>
      <c r="F47" s="193">
        <v>2960</v>
      </c>
      <c r="G47" s="13"/>
      <c r="K47" s="174"/>
    </row>
    <row r="48" spans="1:12" ht="12.75">
      <c r="A48" s="13"/>
      <c r="B48" s="16"/>
      <c r="C48" s="16"/>
      <c r="D48" s="13"/>
      <c r="E48" s="13"/>
      <c r="F48" s="13"/>
      <c r="G48" s="13"/>
      <c r="H48" s="13"/>
      <c r="I48" s="13"/>
      <c r="J48" s="13"/>
      <c r="K48" s="13"/>
      <c r="L48" s="13"/>
    </row>
    <row r="49" spans="1:13" ht="12.75">
      <c r="A49" s="13"/>
      <c r="B49" s="16"/>
      <c r="C49" s="16"/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1:13" ht="12.75">
      <c r="A50" s="13"/>
      <c r="B50" s="16"/>
      <c r="C50" s="16"/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1:6" ht="13.5" thickBot="1">
      <c r="A51" s="191" t="s">
        <v>250</v>
      </c>
      <c r="B51" s="279">
        <v>16</v>
      </c>
      <c r="C51" s="280">
        <v>8</v>
      </c>
      <c r="D51" s="281">
        <v>3600</v>
      </c>
      <c r="E51" s="192" t="s">
        <v>75</v>
      </c>
      <c r="F51" s="193" t="s">
        <v>75</v>
      </c>
    </row>
    <row r="52" spans="1:6" ht="13.5" thickBot="1">
      <c r="A52" s="191" t="s">
        <v>251</v>
      </c>
      <c r="B52" s="279">
        <v>19</v>
      </c>
      <c r="C52" s="280">
        <v>8</v>
      </c>
      <c r="D52" s="281">
        <v>2850</v>
      </c>
      <c r="E52" s="192" t="s">
        <v>75</v>
      </c>
      <c r="F52" s="193" t="s">
        <v>75</v>
      </c>
    </row>
    <row r="53" spans="1:6" ht="13.5" thickBot="1">
      <c r="A53" s="191" t="s">
        <v>252</v>
      </c>
      <c r="B53" s="279">
        <v>22</v>
      </c>
      <c r="C53" s="280">
        <v>8</v>
      </c>
      <c r="D53" s="281">
        <v>2400</v>
      </c>
      <c r="E53" s="192" t="s">
        <v>75</v>
      </c>
      <c r="F53" s="193" t="s">
        <v>75</v>
      </c>
    </row>
    <row r="54" spans="1:6" ht="13.5" thickBot="1">
      <c r="A54" s="191" t="s">
        <v>253</v>
      </c>
      <c r="B54" s="279">
        <v>16</v>
      </c>
      <c r="C54" s="280">
        <v>6</v>
      </c>
      <c r="D54" s="281">
        <v>4300</v>
      </c>
      <c r="E54" s="192" t="s">
        <v>75</v>
      </c>
      <c r="F54" s="193" t="s">
        <v>75</v>
      </c>
    </row>
  </sheetData>
  <mergeCells count="4">
    <mergeCell ref="A1:F1"/>
    <mergeCell ref="D4:F4"/>
    <mergeCell ref="H1:M1"/>
    <mergeCell ref="K4:M4"/>
  </mergeCells>
  <hyperlinks>
    <hyperlink ref="A2" r:id="rId1" display="http://www.luftschrauben.de/"/>
    <hyperlink ref="A3" r:id="rId2" display="http://www.torcman.de/"/>
    <hyperlink ref="H3" r:id="rId3" display="http://www.torcman.de/"/>
    <hyperlink ref="H2" r:id="rId4" display="http://www.elektromodellflug.de/"/>
  </hyperlinks>
  <printOptions/>
  <pageMargins left="0.75" right="0.75" top="1" bottom="1" header="0.5" footer="0.5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 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Rother</dc:creator>
  <cp:keywords/>
  <dc:description/>
  <cp:lastModifiedBy> </cp:lastModifiedBy>
  <dcterms:created xsi:type="dcterms:W3CDTF">2002-02-04T12:21:14Z</dcterms:created>
  <dcterms:modified xsi:type="dcterms:W3CDTF">2006-01-11T07:37:47Z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